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ngrsfilesv\技術\技術本部\05　技術部〔管理：各課〕\01　製品開発課（東京）\103 製品開発三課\05 防災関連\積算シート\積算シート\"/>
    </mc:Choice>
  </mc:AlternateContent>
  <xr:revisionPtr revIDLastSave="0" documentId="8_{39CADB97-268B-43D1-9944-9F2E70AC4F41}" xr6:coauthVersionLast="47" xr6:coauthVersionMax="47" xr10:uidLastSave="{00000000-0000-0000-0000-000000000000}"/>
  <bookViews>
    <workbookView xWindow="-120" yWindow="-120" windowWidth="29040" windowHeight="17790" xr2:uid="{00000000-000D-0000-FFFF-FFFF00000000}"/>
  </bookViews>
  <sheets>
    <sheet name="イチジカンパイプ工法部材選定シート" sheetId="1" r:id="rId1"/>
  </sheets>
  <definedNames>
    <definedName name="_xlnm._FilterDatabase" localSheetId="0" hidden="1">イチジカンパイプ工法部材選定シート!#REF!</definedName>
    <definedName name="_xlnm.Criteria" localSheetId="0">イチジカンパイプ工法部材選定シート!#REF!</definedName>
    <definedName name="_xlnm.Print_Area" localSheetId="0">イチジカンパイプ工法部材選定シート!$A$1:$N$27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37" i="1" l="1"/>
  <c r="AB36" i="1"/>
  <c r="AB35" i="1"/>
  <c r="AB33" i="1"/>
  <c r="AB32" i="1"/>
  <c r="AB31" i="1"/>
  <c r="AA45" i="1"/>
  <c r="AA36" i="1"/>
  <c r="AA35" i="1"/>
  <c r="AA33" i="1"/>
  <c r="AA32" i="1"/>
  <c r="AA31" i="1"/>
  <c r="Z45" i="1"/>
  <c r="Z44" i="1"/>
  <c r="Z35" i="1"/>
  <c r="Z33" i="1"/>
  <c r="Z32" i="1"/>
  <c r="Z31" i="1"/>
  <c r="Y45" i="1"/>
  <c r="Y44" i="1"/>
  <c r="Y43" i="1"/>
  <c r="Y33" i="1"/>
  <c r="Y32" i="1"/>
  <c r="Y31" i="1"/>
  <c r="X45" i="1"/>
  <c r="X44" i="1"/>
  <c r="X43" i="1"/>
  <c r="X42" i="1"/>
  <c r="X33" i="1"/>
  <c r="X32" i="1"/>
  <c r="X31" i="1"/>
  <c r="W45" i="1"/>
  <c r="W44" i="1"/>
  <c r="W43" i="1"/>
  <c r="W42" i="1"/>
  <c r="W41" i="1"/>
  <c r="W32" i="1"/>
  <c r="W31" i="1"/>
  <c r="W29" i="1"/>
  <c r="V45" i="1"/>
  <c r="V44" i="1"/>
  <c r="V43" i="1"/>
  <c r="V42" i="1"/>
  <c r="V41" i="1"/>
  <c r="V40" i="1"/>
  <c r="V31" i="1"/>
  <c r="U45" i="1"/>
  <c r="U44" i="1"/>
  <c r="U43" i="1"/>
  <c r="U42" i="1"/>
  <c r="U41" i="1"/>
  <c r="U40" i="1"/>
  <c r="U39" i="1"/>
  <c r="T44" i="1"/>
  <c r="T43" i="1"/>
  <c r="T42" i="1"/>
  <c r="T41" i="1"/>
  <c r="T40" i="1"/>
  <c r="T39" i="1"/>
  <c r="S44" i="1"/>
  <c r="S43" i="1"/>
  <c r="S42" i="1"/>
  <c r="S41" i="1"/>
  <c r="S40" i="1"/>
  <c r="S39" i="1"/>
  <c r="S37" i="1"/>
  <c r="AB29" i="1"/>
  <c r="AA29" i="1"/>
  <c r="Z29" i="1"/>
  <c r="Y29" i="1"/>
  <c r="X29" i="1"/>
  <c r="V29" i="1"/>
  <c r="U29" i="1"/>
  <c r="T29" i="1"/>
  <c r="AA14" i="1" l="1"/>
  <c r="AB11" i="1" l="1"/>
  <c r="AB30" i="1" s="1"/>
  <c r="Z12" i="1"/>
  <c r="Y12" i="1"/>
  <c r="X12" i="1"/>
  <c r="W12" i="1"/>
  <c r="V12" i="1"/>
  <c r="S12" i="1"/>
  <c r="S31" i="1" s="1"/>
  <c r="U12" i="1"/>
  <c r="U31" i="1" s="1"/>
  <c r="AB23" i="1"/>
  <c r="AB42" i="1" s="1"/>
  <c r="AB22" i="1"/>
  <c r="AB41" i="1" s="1"/>
  <c r="AB21" i="1"/>
  <c r="AB40" i="1" s="1"/>
  <c r="AB20" i="1"/>
  <c r="AB39" i="1" s="1"/>
  <c r="AB19" i="1"/>
  <c r="AB38" i="1" s="1"/>
  <c r="AB18" i="1"/>
  <c r="AA23" i="1"/>
  <c r="AA42" i="1" s="1"/>
  <c r="AA22" i="1"/>
  <c r="AA41" i="1" s="1"/>
  <c r="AA21" i="1"/>
  <c r="AA40" i="1" s="1"/>
  <c r="AA20" i="1"/>
  <c r="AA39" i="1" s="1"/>
  <c r="AA19" i="1"/>
  <c r="AA38" i="1" s="1"/>
  <c r="AA18" i="1"/>
  <c r="AA37" i="1" s="1"/>
  <c r="Z23" i="1"/>
  <c r="Z42" i="1" s="1"/>
  <c r="Z22" i="1"/>
  <c r="Z41" i="1" s="1"/>
  <c r="Z21" i="1"/>
  <c r="Z40" i="1" s="1"/>
  <c r="Z20" i="1"/>
  <c r="Z39" i="1" s="1"/>
  <c r="Z19" i="1"/>
  <c r="Z38" i="1" s="1"/>
  <c r="Z18" i="1"/>
  <c r="Z37" i="1" s="1"/>
  <c r="Y18" i="1"/>
  <c r="Y37" i="1" s="1"/>
  <c r="Y19" i="1"/>
  <c r="Y38" i="1" s="1"/>
  <c r="Y20" i="1"/>
  <c r="Y39" i="1" s="1"/>
  <c r="Y21" i="1"/>
  <c r="Y40" i="1" s="1"/>
  <c r="Y22" i="1"/>
  <c r="Y41" i="1" s="1"/>
  <c r="Y23" i="1"/>
  <c r="Y42" i="1" s="1"/>
  <c r="X23" i="1"/>
  <c r="X22" i="1"/>
  <c r="X41" i="1" s="1"/>
  <c r="X21" i="1"/>
  <c r="X40" i="1" s="1"/>
  <c r="X20" i="1"/>
  <c r="X39" i="1" s="1"/>
  <c r="X19" i="1"/>
  <c r="X38" i="1" s="1"/>
  <c r="X18" i="1"/>
  <c r="X37" i="1" s="1"/>
  <c r="W23" i="1"/>
  <c r="W22" i="1"/>
  <c r="W21" i="1"/>
  <c r="W40" i="1" s="1"/>
  <c r="W20" i="1"/>
  <c r="W39" i="1" s="1"/>
  <c r="W19" i="1"/>
  <c r="W38" i="1" s="1"/>
  <c r="W18" i="1"/>
  <c r="W37" i="1" s="1"/>
  <c r="V18" i="1"/>
  <c r="V37" i="1" s="1"/>
  <c r="V19" i="1"/>
  <c r="V38" i="1" s="1"/>
  <c r="V20" i="1"/>
  <c r="V39" i="1" s="1"/>
  <c r="V21" i="1"/>
  <c r="V22" i="1"/>
  <c r="V23" i="1"/>
  <c r="U23" i="1"/>
  <c r="U22" i="1"/>
  <c r="U21" i="1"/>
  <c r="U20" i="1"/>
  <c r="U19" i="1"/>
  <c r="U38" i="1" s="1"/>
  <c r="U18" i="1"/>
  <c r="U37" i="1" s="1"/>
  <c r="T18" i="1"/>
  <c r="T37" i="1" s="1"/>
  <c r="T19" i="1"/>
  <c r="T38" i="1" s="1"/>
  <c r="T20" i="1"/>
  <c r="T21" i="1"/>
  <c r="T22" i="1"/>
  <c r="T23" i="1"/>
  <c r="S23" i="1"/>
  <c r="S22" i="1"/>
  <c r="S21" i="1"/>
  <c r="S20" i="1"/>
  <c r="S19" i="1"/>
  <c r="S38" i="1" s="1"/>
  <c r="S18" i="1"/>
  <c r="AC22" i="1" l="1"/>
  <c r="AB26" i="1"/>
  <c r="AB45" i="1" s="1"/>
  <c r="AB25" i="1"/>
  <c r="AB44" i="1" s="1"/>
  <c r="AB24" i="1"/>
  <c r="AB43" i="1" s="1"/>
  <c r="AB17" i="1"/>
  <c r="AB16" i="1"/>
  <c r="AB15" i="1"/>
  <c r="AB34" i="1" s="1"/>
  <c r="AB14" i="1"/>
  <c r="AB13" i="1"/>
  <c r="AB12" i="1"/>
  <c r="AB10" i="1"/>
  <c r="AA26" i="1"/>
  <c r="AA25" i="1"/>
  <c r="AA44" i="1" s="1"/>
  <c r="AA24" i="1"/>
  <c r="AA43" i="1" s="1"/>
  <c r="AA17" i="1"/>
  <c r="AA16" i="1"/>
  <c r="AA15" i="1"/>
  <c r="AA34" i="1" s="1"/>
  <c r="AA13" i="1"/>
  <c r="AA12" i="1"/>
  <c r="AA11" i="1"/>
  <c r="AA30" i="1" s="1"/>
  <c r="AA10" i="1"/>
  <c r="Z26" i="1"/>
  <c r="Z25" i="1"/>
  <c r="Z24" i="1"/>
  <c r="Z43" i="1" s="1"/>
  <c r="Z17" i="1"/>
  <c r="Z36" i="1" s="1"/>
  <c r="Z16" i="1"/>
  <c r="Z15" i="1"/>
  <c r="Z34" i="1" s="1"/>
  <c r="Z14" i="1"/>
  <c r="Z13" i="1"/>
  <c r="Z11" i="1"/>
  <c r="Z30" i="1" s="1"/>
  <c r="Z10" i="1"/>
  <c r="Y26" i="1"/>
  <c r="Y25" i="1"/>
  <c r="Y24" i="1"/>
  <c r="Y17" i="1"/>
  <c r="Y36" i="1" s="1"/>
  <c r="Y16" i="1"/>
  <c r="Y35" i="1" s="1"/>
  <c r="Y15" i="1"/>
  <c r="Y34" i="1" s="1"/>
  <c r="Y14" i="1"/>
  <c r="Y13" i="1"/>
  <c r="Y11" i="1"/>
  <c r="Y30" i="1" s="1"/>
  <c r="Y10" i="1"/>
  <c r="X26" i="1"/>
  <c r="X25" i="1"/>
  <c r="X24" i="1"/>
  <c r="X17" i="1"/>
  <c r="X36" i="1" s="1"/>
  <c r="X16" i="1"/>
  <c r="X35" i="1" s="1"/>
  <c r="X15" i="1"/>
  <c r="X34" i="1" s="1"/>
  <c r="X14" i="1"/>
  <c r="X13" i="1"/>
  <c r="X11" i="1"/>
  <c r="X30" i="1" s="1"/>
  <c r="X10" i="1"/>
  <c r="W26" i="1"/>
  <c r="W25" i="1"/>
  <c r="W24" i="1"/>
  <c r="W17" i="1"/>
  <c r="W36" i="1" s="1"/>
  <c r="W16" i="1"/>
  <c r="W35" i="1" s="1"/>
  <c r="W15" i="1"/>
  <c r="W34" i="1" s="1"/>
  <c r="W14" i="1"/>
  <c r="W33" i="1" s="1"/>
  <c r="W13" i="1"/>
  <c r="W11" i="1"/>
  <c r="W30" i="1" s="1"/>
  <c r="W10" i="1"/>
  <c r="V26" i="1"/>
  <c r="V25" i="1"/>
  <c r="V24" i="1"/>
  <c r="V17" i="1"/>
  <c r="V36" i="1" s="1"/>
  <c r="V16" i="1"/>
  <c r="V35" i="1" s="1"/>
  <c r="V15" i="1"/>
  <c r="V34" i="1" s="1"/>
  <c r="V14" i="1"/>
  <c r="V33" i="1" s="1"/>
  <c r="V13" i="1"/>
  <c r="V32" i="1" s="1"/>
  <c r="V11" i="1"/>
  <c r="V30" i="1" s="1"/>
  <c r="V10" i="1"/>
  <c r="U26" i="1"/>
  <c r="U25" i="1"/>
  <c r="U24" i="1"/>
  <c r="U17" i="1"/>
  <c r="U36" i="1" s="1"/>
  <c r="U16" i="1"/>
  <c r="U35" i="1" s="1"/>
  <c r="U15" i="1"/>
  <c r="U34" i="1" s="1"/>
  <c r="U14" i="1"/>
  <c r="U33" i="1" s="1"/>
  <c r="U13" i="1"/>
  <c r="U32" i="1" s="1"/>
  <c r="U11" i="1"/>
  <c r="U30" i="1" s="1"/>
  <c r="U10" i="1"/>
  <c r="T26" i="1"/>
  <c r="T45" i="1" s="1"/>
  <c r="T25" i="1"/>
  <c r="T24" i="1"/>
  <c r="T17" i="1"/>
  <c r="T36" i="1" s="1"/>
  <c r="T16" i="1"/>
  <c r="T35" i="1" s="1"/>
  <c r="T15" i="1"/>
  <c r="T34" i="1" s="1"/>
  <c r="T14" i="1"/>
  <c r="T33" i="1" s="1"/>
  <c r="T13" i="1"/>
  <c r="T32" i="1" s="1"/>
  <c r="T12" i="1"/>
  <c r="T31" i="1" s="1"/>
  <c r="T11" i="1"/>
  <c r="T30" i="1" s="1"/>
  <c r="T10" i="1"/>
  <c r="S26" i="1"/>
  <c r="S45" i="1" s="1"/>
  <c r="S25" i="1"/>
  <c r="S24" i="1"/>
  <c r="S17" i="1"/>
  <c r="S36" i="1" s="1"/>
  <c r="S16" i="1"/>
  <c r="S35" i="1" s="1"/>
  <c r="S15" i="1"/>
  <c r="S34" i="1" s="1"/>
  <c r="S14" i="1"/>
  <c r="S33" i="1" s="1"/>
  <c r="S13" i="1"/>
  <c r="S32" i="1" s="1"/>
  <c r="S11" i="1"/>
  <c r="S30" i="1" s="1"/>
  <c r="S10" i="1"/>
  <c r="S29" i="1" s="1"/>
  <c r="AC10" i="1" l="1"/>
  <c r="AC19" i="1"/>
  <c r="AC11" i="1"/>
  <c r="AC24" i="1"/>
  <c r="AC20" i="1"/>
  <c r="AC15" i="1"/>
  <c r="AC23" i="1"/>
  <c r="AC18" i="1"/>
  <c r="AC26" i="1"/>
  <c r="AC17" i="1"/>
  <c r="AC25" i="1"/>
  <c r="AC12" i="1"/>
  <c r="AC13" i="1"/>
  <c r="AC21" i="1"/>
  <c r="AC16" i="1"/>
  <c r="AC14" i="1"/>
  <c r="AC30" i="1" l="1"/>
  <c r="AC29" i="1"/>
  <c r="AC45" i="1"/>
  <c r="AC44" i="1"/>
  <c r="AC43" i="1"/>
  <c r="AC41" i="1"/>
  <c r="AC40" i="1"/>
  <c r="AC39" i="1"/>
  <c r="AC36" i="1"/>
  <c r="AC38" i="1"/>
  <c r="AC37" i="1"/>
  <c r="AC35" i="1"/>
  <c r="AC34" i="1"/>
  <c r="AC33" i="1"/>
  <c r="AC31" i="1"/>
  <c r="AC32" i="1"/>
  <c r="AC42" i="1"/>
  <c r="AH45" i="1" l="1"/>
  <c r="J20" i="1" s="1"/>
  <c r="AH42" i="1"/>
  <c r="J19" i="1" s="1"/>
  <c r="AH36" i="1"/>
  <c r="J18" i="1" s="1"/>
</calcChain>
</file>

<file path=xl/sharedStrings.xml><?xml version="1.0" encoding="utf-8"?>
<sst xmlns="http://schemas.openxmlformats.org/spreadsheetml/2006/main" count="139" uniqueCount="49">
  <si>
    <t>鋼製電線管サイズ、箇所数をご入力頂くと、タフロックイチジカンパイプ工法に必要な部材数量が自動計算されます。</t>
    <rPh sb="0" eb="2">
      <t>コウセイ</t>
    </rPh>
    <rPh sb="2" eb="5">
      <t>デンセンカン</t>
    </rPh>
    <rPh sb="9" eb="11">
      <t>カショ</t>
    </rPh>
    <rPh sb="11" eb="12">
      <t>スウ</t>
    </rPh>
    <rPh sb="14" eb="17">
      <t>ニュウリョクイタダ</t>
    </rPh>
    <rPh sb="33" eb="35">
      <t>コウホウ</t>
    </rPh>
    <rPh sb="36" eb="38">
      <t>ヒツヨウ</t>
    </rPh>
    <rPh sb="39" eb="41">
      <t>ブザイ</t>
    </rPh>
    <rPh sb="41" eb="43">
      <t>スウリョウ</t>
    </rPh>
    <rPh sb="44" eb="46">
      <t>ジドウ</t>
    </rPh>
    <rPh sb="46" eb="48">
      <t>ケイサン</t>
    </rPh>
    <phoneticPr fontId="2"/>
  </si>
  <si>
    <t>明細№</t>
    <rPh sb="0" eb="2">
      <t>メイサイ</t>
    </rPh>
    <phoneticPr fontId="2"/>
  </si>
  <si>
    <t>鋼製電線管サイズ</t>
    <rPh sb="0" eb="2">
      <t>コウセイ</t>
    </rPh>
    <rPh sb="2" eb="5">
      <t>デンセンカン</t>
    </rPh>
    <phoneticPr fontId="2"/>
  </si>
  <si>
    <t>箇所数</t>
    <rPh sb="0" eb="2">
      <t>カショ</t>
    </rPh>
    <rPh sb="2" eb="3">
      <t>スウ</t>
    </rPh>
    <phoneticPr fontId="2"/>
  </si>
  <si>
    <t>開口1</t>
    <rPh sb="0" eb="2">
      <t>カイコウ</t>
    </rPh>
    <phoneticPr fontId="2"/>
  </si>
  <si>
    <t>開口2</t>
    <rPh sb="0" eb="2">
      <t>カイコウ</t>
    </rPh>
    <phoneticPr fontId="2"/>
  </si>
  <si>
    <t>開口3</t>
    <rPh sb="0" eb="2">
      <t>カイコウ</t>
    </rPh>
    <phoneticPr fontId="2"/>
  </si>
  <si>
    <t>開口4</t>
    <rPh sb="0" eb="2">
      <t>カイコウ</t>
    </rPh>
    <phoneticPr fontId="2"/>
  </si>
  <si>
    <t>開口5</t>
    <rPh sb="0" eb="2">
      <t>カイコウ</t>
    </rPh>
    <phoneticPr fontId="2"/>
  </si>
  <si>
    <t>開口6</t>
    <rPh sb="0" eb="2">
      <t>カイコウ</t>
    </rPh>
    <phoneticPr fontId="2"/>
  </si>
  <si>
    <t>開口7</t>
    <rPh sb="0" eb="2">
      <t>カイコウ</t>
    </rPh>
    <phoneticPr fontId="2"/>
  </si>
  <si>
    <t>開口8</t>
    <rPh sb="0" eb="2">
      <t>カイコウ</t>
    </rPh>
    <phoneticPr fontId="2"/>
  </si>
  <si>
    <t>開口9</t>
    <rPh sb="0" eb="2">
      <t>カイコウ</t>
    </rPh>
    <phoneticPr fontId="2"/>
  </si>
  <si>
    <t>開口10</t>
    <rPh sb="0" eb="2">
      <t>カイコウ</t>
    </rPh>
    <phoneticPr fontId="2"/>
  </si>
  <si>
    <t>合計</t>
    <rPh sb="0" eb="2">
      <t>ゴウケイ</t>
    </rPh>
    <phoneticPr fontId="2"/>
  </si>
  <si>
    <t>単価（円）</t>
    <rPh sb="0" eb="2">
      <t>タンカ</t>
    </rPh>
    <rPh sb="3" eb="4">
      <t>エン</t>
    </rPh>
    <phoneticPr fontId="2"/>
  </si>
  <si>
    <t>　　　　1.　　　　φ</t>
    <phoneticPr fontId="2"/>
  </si>
  <si>
    <t>箇所</t>
    <rPh sb="0" eb="2">
      <t>カショ</t>
    </rPh>
    <phoneticPr fontId="2"/>
  </si>
  <si>
    <t>品番</t>
    <rPh sb="0" eb="2">
      <t>ヒンバン</t>
    </rPh>
    <phoneticPr fontId="2"/>
  </si>
  <si>
    <t>必要数量</t>
    <rPh sb="0" eb="2">
      <t>ヒツヨウ</t>
    </rPh>
    <rPh sb="2" eb="4">
      <t>スウリョウ</t>
    </rPh>
    <phoneticPr fontId="2"/>
  </si>
  <si>
    <t>巻</t>
    <rPh sb="0" eb="1">
      <t>カン</t>
    </rPh>
    <phoneticPr fontId="2"/>
  </si>
  <si>
    <t>　　　　2.　　　　φ</t>
    <phoneticPr fontId="2"/>
  </si>
  <si>
    <t>　　　　3.　　　　φ</t>
    <phoneticPr fontId="2"/>
  </si>
  <si>
    <t>このシートでの計算結果はあくまでも概算ですので、実際の施工状況では必要数量が異なる場合がございます。</t>
    <rPh sb="17" eb="19">
      <t>ガイサン</t>
    </rPh>
    <phoneticPr fontId="2"/>
  </si>
  <si>
    <t>　　　　4.　　　　φ</t>
    <phoneticPr fontId="2"/>
  </si>
  <si>
    <t>　　　　5.　　　　φ</t>
    <phoneticPr fontId="2"/>
  </si>
  <si>
    <t>　　　　6.　　　　φ</t>
    <phoneticPr fontId="2"/>
  </si>
  <si>
    <t>　　　　7.　　　　φ</t>
    <phoneticPr fontId="2"/>
  </si>
  <si>
    <t>　　　　8.　　　　φ</t>
    <phoneticPr fontId="2"/>
  </si>
  <si>
    <t>　　　　9.　　　　φ</t>
    <phoneticPr fontId="2"/>
  </si>
  <si>
    <t>　　　10.　　　　φ</t>
    <phoneticPr fontId="2"/>
  </si>
  <si>
    <t>OUTPUT</t>
  </si>
  <si>
    <t>TAFＩP39L
（電線管16～39用）</t>
    <rPh sb="10" eb="13">
      <t>デンセンカン</t>
    </rPh>
    <rPh sb="18" eb="19">
      <t>ヨウ</t>
    </rPh>
    <phoneticPr fontId="2"/>
  </si>
  <si>
    <t>TAFＩP75L
（電線管42～75用）</t>
    <rPh sb="10" eb="13">
      <t>デンセンカン</t>
    </rPh>
    <rPh sb="18" eb="19">
      <t>ヨウ</t>
    </rPh>
    <phoneticPr fontId="2"/>
  </si>
  <si>
    <t>TAFＩP104L
（電線管82～104用）</t>
    <rPh sb="11" eb="14">
      <t>デンセンカン</t>
    </rPh>
    <rPh sb="20" eb="21">
      <t>ヨウ</t>
    </rPh>
    <phoneticPr fontId="2"/>
  </si>
  <si>
    <t>ＩＢ60Ｌ</t>
    <phoneticPr fontId="2"/>
  </si>
  <si>
    <t>ＩＢ100Ｌ</t>
    <phoneticPr fontId="2"/>
  </si>
  <si>
    <t>ＩＢ130Ｌ</t>
    <phoneticPr fontId="2"/>
  </si>
  <si>
    <t>【TAFIP□L　部材必要数量】</t>
    <rPh sb="9" eb="11">
      <t>ブザイ</t>
    </rPh>
    <rPh sb="11" eb="13">
      <t>ヒツヨウ</t>
    </rPh>
    <rPh sb="13" eb="15">
      <t>スウリョウ</t>
    </rPh>
    <phoneticPr fontId="2"/>
  </si>
  <si>
    <t>必要長さ</t>
    <rPh sb="0" eb="2">
      <t>ヒツヨウ</t>
    </rPh>
    <rPh sb="2" eb="3">
      <t>ナガ</t>
    </rPh>
    <phoneticPr fontId="2"/>
  </si>
  <si>
    <t>取り数</t>
    <rPh sb="0" eb="1">
      <t>ト</t>
    </rPh>
    <rPh sb="2" eb="3">
      <t>スウ</t>
    </rPh>
    <phoneticPr fontId="2"/>
  </si>
  <si>
    <t>取り数からの割り切れる必要巻数</t>
    <rPh sb="0" eb="1">
      <t>ト</t>
    </rPh>
    <rPh sb="2" eb="3">
      <t>スウ</t>
    </rPh>
    <rPh sb="6" eb="7">
      <t>ワ</t>
    </rPh>
    <rPh sb="8" eb="9">
      <t>キ</t>
    </rPh>
    <rPh sb="11" eb="13">
      <t>ヒツヨウ</t>
    </rPh>
    <rPh sb="13" eb="15">
      <t>カンスウ</t>
    </rPh>
    <phoneticPr fontId="2"/>
  </si>
  <si>
    <t>残り余長からの割り切れる必要巻数</t>
    <rPh sb="0" eb="1">
      <t>ノコ</t>
    </rPh>
    <rPh sb="2" eb="3">
      <t>ヨ</t>
    </rPh>
    <rPh sb="3" eb="4">
      <t>チョウ</t>
    </rPh>
    <rPh sb="7" eb="8">
      <t>ワ</t>
    </rPh>
    <rPh sb="9" eb="10">
      <t>キ</t>
    </rPh>
    <rPh sb="12" eb="14">
      <t>ヒツヨウ</t>
    </rPh>
    <rPh sb="14" eb="16">
      <t>カンスウ</t>
    </rPh>
    <phoneticPr fontId="2"/>
  </si>
  <si>
    <t>㎜</t>
    <phoneticPr fontId="2"/>
  </si>
  <si>
    <t>TAFIP39L</t>
    <phoneticPr fontId="2"/>
  </si>
  <si>
    <t>TAFIP75L</t>
    <phoneticPr fontId="2"/>
  </si>
  <si>
    <t>TAFIP104L</t>
    <phoneticPr fontId="2"/>
  </si>
  <si>
    <t>タフロックイチジカンパイプ ＴＡＦＩＰ□L　部材選定シート</t>
    <rPh sb="22" eb="24">
      <t>ブザイ</t>
    </rPh>
    <rPh sb="24" eb="26">
      <t>センテイ</t>
    </rPh>
    <phoneticPr fontId="2"/>
  </si>
  <si>
    <t>foam-250114</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</si>
</sst>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name val="ＭＳ Ｐゴシック"/>
      <family val="3"/>
      <charset val="128"/>
    </font>
    <font>
      <sz val="11"/>
      <name val="ＭＳ Ｐゴシック"/>
      <family val="3"/>
      <charset val="128"/>
    </font>
    <font>
      <sz val="6"/>
      <name val="ＭＳ Ｐゴシック"/>
      <family val="3"/>
      <charset val="128"/>
    </font>
    <font>
      <b/>
      <i/>
      <sz val="36"/>
      <color rgb="FFFFFF00"/>
      <name val="ＭＳ Ｐゴシック"/>
      <family val="3"/>
      <charset val="128"/>
    </font>
    <font>
      <b/>
      <i/>
      <sz val="18"/>
      <name val="ＭＳ Ｐゴシック"/>
      <family val="3"/>
      <charset val="128"/>
    </font>
    <font>
      <sz val="11"/>
      <color rgb="FFFFFF00"/>
      <name val="ＭＳ Ｐゴシック"/>
      <family val="3"/>
      <charset val="128"/>
    </font>
    <font>
      <b/>
      <sz val="11"/>
      <color theme="0"/>
      <name val="ＭＳ Ｐゴシック"/>
      <family val="3"/>
      <charset val="128"/>
    </font>
    <font>
      <sz val="11"/>
      <color theme="0"/>
      <name val="ＭＳ Ｐゴシック"/>
      <family val="3"/>
      <charset val="128"/>
    </font>
    <font>
      <b/>
      <sz val="11"/>
      <name val="ＭＳ Ｐゴシック"/>
      <family val="3"/>
      <charset val="128"/>
    </font>
    <font>
      <b/>
      <sz val="11"/>
      <color rgb="FF3F3F3F"/>
      <name val="ＭＳ Ｐゴシック"/>
      <family val="3"/>
      <charset val="128"/>
      <scheme val="minor"/>
    </font>
    <font>
      <b/>
      <sz val="9"/>
      <color rgb="FF3F3F3F"/>
      <name val="ＭＳ Ｐゴシック"/>
      <family val="3"/>
      <charset val="128"/>
      <scheme val="minor"/>
    </font>
    <font>
      <b/>
      <sz val="20"/>
      <color rgb="FFFF0000"/>
      <name val="ＭＳ Ｐゴシック"/>
      <family val="3"/>
      <charset val="128"/>
    </font>
    <font>
      <sz val="11"/>
      <color theme="0" tint="-0.499984740745262"/>
      <name val="ＭＳ Ｐゴシック"/>
      <family val="3"/>
      <charset val="128"/>
    </font>
    <font>
      <sz val="11"/>
      <color rgb="FF3F3F76"/>
      <name val="ＭＳ Ｐゴシック"/>
      <family val="3"/>
      <charset val="128"/>
      <scheme val="minor"/>
    </font>
    <font>
      <sz val="18"/>
      <color rgb="FF3F3F76"/>
      <name val="ＭＳ Ｐゴシック"/>
      <family val="3"/>
      <charset val="128"/>
      <scheme val="minor"/>
    </font>
    <font>
      <sz val="18"/>
      <name val="ＭＳ Ｐゴシック"/>
      <family val="3"/>
      <charset val="128"/>
    </font>
    <font>
      <sz val="10"/>
      <color theme="0" tint="-0.499984740745262"/>
      <name val="ＭＳ Ｐゴシック"/>
      <family val="3"/>
      <charset val="128"/>
    </font>
    <font>
      <b/>
      <u/>
      <sz val="11"/>
      <name val="ＭＳ Ｐゴシック"/>
      <family val="3"/>
      <charset val="128"/>
    </font>
    <font>
      <sz val="8"/>
      <name val="ＭＳ Ｐゴシック"/>
      <family val="3"/>
      <charset val="128"/>
    </font>
    <font>
      <b/>
      <sz val="14"/>
      <color rgb="FFFF0000"/>
      <name val="ＭＳ Ｐゴシック"/>
      <family val="3"/>
      <charset val="128"/>
    </font>
    <font>
      <sz val="10"/>
      <name val="ＭＳ Ｐゴシック"/>
      <family val="3"/>
      <charset val="128"/>
    </font>
    <font>
      <b/>
      <sz val="11"/>
      <color rgb="FFFF0000"/>
      <name val="ＭＳ Ｐゴシック"/>
      <family val="3"/>
      <charset val="128"/>
    </font>
    <font>
      <b/>
      <sz val="20"/>
      <color rgb="FF0070C0"/>
      <name val="ＭＳ Ｐゴシック"/>
      <family val="3"/>
      <charset val="128"/>
    </font>
  </fonts>
  <fills count="8">
    <fill>
      <patternFill patternType="none"/>
    </fill>
    <fill>
      <patternFill patternType="gray125"/>
    </fill>
    <fill>
      <patternFill patternType="solid">
        <fgColor rgb="FFFFCC99"/>
      </patternFill>
    </fill>
    <fill>
      <patternFill patternType="solid">
        <fgColor rgb="FFF2F2F2"/>
      </patternFill>
    </fill>
    <fill>
      <patternFill patternType="solid">
        <fgColor rgb="FF00B0F0"/>
        <bgColor indexed="64"/>
      </patternFill>
    </fill>
    <fill>
      <patternFill patternType="solid">
        <fgColor theme="0"/>
        <bgColor indexed="64"/>
      </patternFill>
    </fill>
    <fill>
      <patternFill patternType="solid">
        <fgColor rgb="FF0070C0"/>
        <bgColor indexed="64"/>
      </patternFill>
    </fill>
    <fill>
      <patternFill patternType="solid">
        <fgColor rgb="FFC6EFCE"/>
        <bgColor indexed="64"/>
      </patternFill>
    </fill>
  </fills>
  <borders count="27">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
    <xf numFmtId="0" fontId="0" fillId="0" borderId="0"/>
    <xf numFmtId="38" fontId="1" fillId="0" borderId="0" applyFont="0" applyFill="0" applyBorder="0" applyAlignment="0" applyProtection="0"/>
    <xf numFmtId="0" fontId="13" fillId="2" borderId="1" applyNumberFormat="0" applyAlignment="0" applyProtection="0">
      <alignment vertical="center"/>
    </xf>
    <xf numFmtId="0" fontId="9" fillId="3" borderId="2" applyNumberFormat="0" applyAlignment="0" applyProtection="0">
      <alignment vertical="center"/>
    </xf>
  </cellStyleXfs>
  <cellXfs count="85">
    <xf numFmtId="0" fontId="0" fillId="0" borderId="0" xfId="0"/>
    <xf numFmtId="0" fontId="0" fillId="4" borderId="3" xfId="0" applyFill="1" applyBorder="1"/>
    <xf numFmtId="0" fontId="0" fillId="4" borderId="4" xfId="0" applyFill="1" applyBorder="1"/>
    <xf numFmtId="0" fontId="0" fillId="4" borderId="5" xfId="0" applyFill="1" applyBorder="1"/>
    <xf numFmtId="0" fontId="0" fillId="5" borderId="0" xfId="0" applyFill="1"/>
    <xf numFmtId="0" fontId="3" fillId="4" borderId="6" xfId="0" applyFont="1" applyFill="1" applyBorder="1"/>
    <xf numFmtId="0" fontId="4" fillId="4" borderId="0" xfId="0" applyFont="1" applyFill="1"/>
    <xf numFmtId="0" fontId="0" fillId="4" borderId="0" xfId="0" applyFill="1"/>
    <xf numFmtId="0" fontId="5" fillId="4" borderId="7" xfId="0" applyFont="1" applyFill="1" applyBorder="1"/>
    <xf numFmtId="0" fontId="0" fillId="4" borderId="6" xfId="0" applyFill="1" applyBorder="1"/>
    <xf numFmtId="0" fontId="0" fillId="4" borderId="7" xfId="0" applyFill="1" applyBorder="1"/>
    <xf numFmtId="0" fontId="0" fillId="4" borderId="8" xfId="0" applyFill="1" applyBorder="1"/>
    <xf numFmtId="0" fontId="0" fillId="4" borderId="9" xfId="0" applyFill="1" applyBorder="1"/>
    <xf numFmtId="0" fontId="0" fillId="4" borderId="10" xfId="0" applyFill="1" applyBorder="1"/>
    <xf numFmtId="0" fontId="6" fillId="6" borderId="6" xfId="0" applyFont="1" applyFill="1" applyBorder="1" applyAlignment="1">
      <alignment horizontal="left" vertical="center"/>
    </xf>
    <xf numFmtId="0" fontId="6" fillId="6" borderId="0" xfId="0" applyFont="1" applyFill="1" applyAlignment="1">
      <alignment horizontal="left" vertical="center"/>
    </xf>
    <xf numFmtId="0" fontId="7" fillId="6" borderId="0" xfId="0" applyFont="1" applyFill="1"/>
    <xf numFmtId="0" fontId="7" fillId="6" borderId="4" xfId="0" applyFont="1" applyFill="1" applyBorder="1"/>
    <xf numFmtId="0" fontId="0" fillId="6" borderId="4" xfId="0" applyFill="1" applyBorder="1"/>
    <xf numFmtId="0" fontId="0" fillId="6" borderId="5" xfId="0" applyFill="1" applyBorder="1"/>
    <xf numFmtId="0" fontId="0" fillId="5" borderId="6" xfId="0" applyFill="1" applyBorder="1"/>
    <xf numFmtId="0" fontId="0" fillId="5" borderId="7" xfId="0" applyFill="1" applyBorder="1"/>
    <xf numFmtId="0" fontId="8" fillId="5" borderId="0" xfId="0" applyFont="1" applyFill="1"/>
    <xf numFmtId="0" fontId="10" fillId="5" borderId="0" xfId="3" applyFont="1" applyFill="1" applyBorder="1" applyAlignment="1" applyProtection="1">
      <alignment vertical="center"/>
    </xf>
    <xf numFmtId="0" fontId="0" fillId="5" borderId="0" xfId="0" applyFill="1" applyAlignment="1">
      <alignment horizontal="center" vertical="center"/>
    </xf>
    <xf numFmtId="0" fontId="11" fillId="5" borderId="0" xfId="0" applyFont="1" applyFill="1" applyAlignment="1">
      <alignment vertical="center"/>
    </xf>
    <xf numFmtId="0" fontId="11" fillId="5" borderId="0" xfId="0" applyFont="1" applyFill="1"/>
    <xf numFmtId="0" fontId="0" fillId="5" borderId="0" xfId="0" applyFill="1" applyAlignment="1">
      <alignment horizontal="right"/>
    </xf>
    <xf numFmtId="0" fontId="12" fillId="5" borderId="11" xfId="0" applyFont="1" applyFill="1" applyBorder="1" applyAlignment="1">
      <alignment horizontal="center" vertical="center"/>
    </xf>
    <xf numFmtId="0" fontId="0" fillId="5" borderId="11" xfId="0" applyFill="1" applyBorder="1" applyAlignment="1">
      <alignment horizontal="center" vertical="center"/>
    </xf>
    <xf numFmtId="0" fontId="0" fillId="5" borderId="6" xfId="0" applyFill="1" applyBorder="1" applyAlignment="1">
      <alignment horizontal="left" vertical="top"/>
    </xf>
    <xf numFmtId="0" fontId="14" fillId="2" borderId="12" xfId="2" applyFont="1" applyBorder="1" applyAlignment="1" applyProtection="1">
      <alignment horizontal="center" vertical="center"/>
      <protection locked="0"/>
    </xf>
    <xf numFmtId="0" fontId="15" fillId="5" borderId="0" xfId="0" applyFont="1" applyFill="1"/>
    <xf numFmtId="0" fontId="0" fillId="5" borderId="6" xfId="0" applyFill="1" applyBorder="1" applyAlignment="1">
      <alignment horizontal="left"/>
    </xf>
    <xf numFmtId="0" fontId="0" fillId="0" borderId="16" xfId="0" applyBorder="1" applyAlignment="1">
      <alignment horizontal="center" vertical="center" wrapText="1"/>
    </xf>
    <xf numFmtId="1" fontId="0" fillId="7" borderId="11" xfId="0" applyNumberFormat="1" applyFill="1" applyBorder="1" applyAlignment="1">
      <alignment horizontal="center" vertical="center"/>
    </xf>
    <xf numFmtId="0" fontId="0" fillId="0" borderId="18" xfId="0" applyBorder="1" applyAlignment="1">
      <alignment horizontal="center" vertical="center"/>
    </xf>
    <xf numFmtId="1" fontId="12" fillId="5" borderId="19" xfId="0" applyNumberFormat="1" applyFont="1" applyFill="1" applyBorder="1" applyAlignment="1">
      <alignment horizontal="center"/>
    </xf>
    <xf numFmtId="0" fontId="0" fillId="5" borderId="11" xfId="0" applyFill="1" applyBorder="1" applyAlignment="1">
      <alignment horizontal="center"/>
    </xf>
    <xf numFmtId="0" fontId="15" fillId="0" borderId="0" xfId="0" applyFont="1"/>
    <xf numFmtId="38" fontId="0" fillId="5" borderId="11" xfId="1" applyFont="1" applyFill="1" applyBorder="1" applyProtection="1"/>
    <xf numFmtId="0" fontId="17" fillId="5" borderId="0" xfId="0" applyFont="1" applyFill="1" applyAlignment="1">
      <alignment horizontal="left" vertical="center"/>
    </xf>
    <xf numFmtId="0" fontId="0" fillId="5" borderId="0" xfId="0" applyFill="1" applyAlignment="1">
      <alignment horizontal="left"/>
    </xf>
    <xf numFmtId="38" fontId="0" fillId="5" borderId="0" xfId="0" applyNumberFormat="1" applyFill="1"/>
    <xf numFmtId="0" fontId="0" fillId="5" borderId="0" xfId="0" applyFill="1" applyAlignment="1">
      <alignment horizontal="center"/>
    </xf>
    <xf numFmtId="0" fontId="18" fillId="5" borderId="7" xfId="0" applyFont="1" applyFill="1" applyBorder="1"/>
    <xf numFmtId="0" fontId="18" fillId="5" borderId="0" xfId="0" applyFont="1" applyFill="1"/>
    <xf numFmtId="0" fontId="19" fillId="5" borderId="0" xfId="0" applyFont="1" applyFill="1"/>
    <xf numFmtId="0" fontId="0" fillId="5" borderId="8" xfId="0" applyFill="1" applyBorder="1"/>
    <xf numFmtId="0" fontId="0" fillId="5" borderId="9" xfId="0" applyFill="1" applyBorder="1"/>
    <xf numFmtId="0" fontId="0" fillId="5" borderId="10" xfId="0" applyFill="1" applyBorder="1"/>
    <xf numFmtId="10" fontId="20" fillId="5" borderId="0" xfId="0" applyNumberFormat="1" applyFont="1" applyFill="1" applyAlignment="1">
      <alignment horizontal="left" vertical="center"/>
    </xf>
    <xf numFmtId="10" fontId="20" fillId="5" borderId="0" xfId="0" applyNumberFormat="1" applyFont="1" applyFill="1" applyAlignment="1">
      <alignment horizontal="center" vertical="center"/>
    </xf>
    <xf numFmtId="0" fontId="12" fillId="5" borderId="0" xfId="0" applyFont="1" applyFill="1" applyAlignment="1">
      <alignment horizontal="center" vertical="center"/>
    </xf>
    <xf numFmtId="0" fontId="0" fillId="5" borderId="0" xfId="0" applyFill="1" applyAlignment="1">
      <alignment vertical="center"/>
    </xf>
    <xf numFmtId="0" fontId="12" fillId="5" borderId="0" xfId="0" applyFont="1" applyFill="1"/>
    <xf numFmtId="1" fontId="12" fillId="5" borderId="21" xfId="0" applyNumberFormat="1" applyFont="1" applyFill="1" applyBorder="1" applyAlignment="1">
      <alignment horizontal="center"/>
    </xf>
    <xf numFmtId="0" fontId="0" fillId="5" borderId="22" xfId="0" applyFill="1" applyBorder="1" applyAlignment="1">
      <alignment horizontal="center"/>
    </xf>
    <xf numFmtId="38" fontId="0" fillId="5" borderId="22" xfId="1" applyFont="1" applyFill="1" applyBorder="1" applyProtection="1"/>
    <xf numFmtId="0" fontId="22" fillId="5" borderId="0" xfId="0" applyFont="1" applyFill="1" applyAlignment="1">
      <alignment vertical="center"/>
    </xf>
    <xf numFmtId="1" fontId="9" fillId="5" borderId="22" xfId="3" applyNumberFormat="1" applyFill="1" applyBorder="1" applyAlignment="1" applyProtection="1">
      <alignment horizontal="center"/>
    </xf>
    <xf numFmtId="1" fontId="9" fillId="5" borderId="11" xfId="3" applyNumberFormat="1" applyFill="1" applyBorder="1" applyAlignment="1" applyProtection="1">
      <alignment horizontal="center"/>
    </xf>
    <xf numFmtId="1" fontId="0" fillId="7" borderId="17" xfId="0" applyNumberFormat="1" applyFill="1" applyBorder="1" applyAlignment="1">
      <alignment horizontal="center" vertical="center"/>
    </xf>
    <xf numFmtId="0" fontId="0" fillId="5" borderId="0" xfId="0" applyFill="1" applyAlignment="1">
      <alignment horizontal="center" vertical="center" wrapText="1"/>
    </xf>
    <xf numFmtId="1" fontId="0" fillId="5" borderId="0" xfId="0" applyNumberFormat="1" applyFill="1" applyAlignment="1">
      <alignment horizontal="center" vertical="center"/>
    </xf>
    <xf numFmtId="38" fontId="1" fillId="5" borderId="0" xfId="1" applyFont="1" applyFill="1" applyBorder="1" applyAlignment="1">
      <alignment horizontal="center" vertical="center"/>
    </xf>
    <xf numFmtId="38" fontId="0" fillId="5" borderId="0" xfId="0" applyNumberFormat="1" applyFill="1"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center" vertical="center"/>
    </xf>
    <xf numFmtId="0" fontId="0" fillId="5" borderId="4" xfId="0" applyFill="1" applyBorder="1" applyAlignment="1">
      <alignment horizontal="center" vertical="center"/>
    </xf>
    <xf numFmtId="0" fontId="0" fillId="5" borderId="4" xfId="0" applyFill="1" applyBorder="1" applyAlignment="1">
      <alignment horizontal="center"/>
    </xf>
    <xf numFmtId="0" fontId="0" fillId="5" borderId="4" xfId="0" applyFill="1" applyBorder="1"/>
    <xf numFmtId="0" fontId="0" fillId="5" borderId="0" xfId="0" applyFill="1" applyAlignment="1">
      <alignment horizontal="center" vertical="center" shrinkToFit="1"/>
    </xf>
    <xf numFmtId="0" fontId="16" fillId="5" borderId="11" xfId="0" applyFont="1" applyFill="1" applyBorder="1" applyAlignment="1">
      <alignment horizontal="center" vertical="center" wrapText="1"/>
    </xf>
    <xf numFmtId="0" fontId="21" fillId="5" borderId="23" xfId="0" applyFont="1" applyFill="1" applyBorder="1" applyAlignment="1">
      <alignment horizontal="center" vertical="center"/>
    </xf>
    <xf numFmtId="0" fontId="21" fillId="5" borderId="21" xfId="0" applyFont="1" applyFill="1" applyBorder="1" applyAlignment="1">
      <alignment horizontal="center" vertical="center"/>
    </xf>
    <xf numFmtId="0" fontId="0" fillId="5" borderId="11" xfId="0" applyFill="1"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24" xfId="0" applyBorder="1" applyAlignment="1">
      <alignment horizontal="center" vertical="center"/>
    </xf>
    <xf numFmtId="0" fontId="0" fillId="0" borderId="17" xfId="0" applyBorder="1" applyAlignment="1">
      <alignment horizontal="center" vertical="center" wrapText="1"/>
    </xf>
    <xf numFmtId="0" fontId="0" fillId="0" borderId="20" xfId="0" applyBorder="1" applyAlignment="1">
      <alignment horizontal="center" vertical="center" wrapText="1"/>
    </xf>
    <xf numFmtId="0" fontId="0" fillId="5" borderId="0" xfId="0" applyFill="1" applyAlignment="1">
      <alignment horizontal="center" vertical="center"/>
    </xf>
    <xf numFmtId="0" fontId="0" fillId="5" borderId="0" xfId="0" applyFill="1" applyAlignment="1">
      <alignment horizontal="center" vertical="center" wrapText="1"/>
    </xf>
  </cellXfs>
  <cellStyles count="4">
    <cellStyle name="桁区切り" xfId="1" builtinId="6"/>
    <cellStyle name="出力" xfId="3" builtinId="21"/>
    <cellStyle name="入力" xfId="2" builtinId="2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9</xdr:col>
      <xdr:colOff>10934</xdr:colOff>
      <xdr:row>24</xdr:row>
      <xdr:rowOff>71438</xdr:rowOff>
    </xdr:from>
    <xdr:to>
      <xdr:col>12</xdr:col>
      <xdr:colOff>917897</xdr:colOff>
      <xdr:row>26</xdr:row>
      <xdr:rowOff>108560</xdr:rowOff>
    </xdr:to>
    <xdr:pic>
      <xdr:nvPicPr>
        <xdr:cNvPr id="8" name="図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83559" y="7796213"/>
          <a:ext cx="4059738" cy="722922"/>
        </a:xfrm>
        <a:prstGeom prst="rect">
          <a:avLst/>
        </a:prstGeom>
      </xdr:spPr>
    </xdr:pic>
    <xdr:clientData/>
  </xdr:twoCellAnchor>
  <xdr:oneCellAnchor>
    <xdr:from>
      <xdr:col>8</xdr:col>
      <xdr:colOff>847725</xdr:colOff>
      <xdr:row>17</xdr:row>
      <xdr:rowOff>219075</xdr:rowOff>
    </xdr:from>
    <xdr:ext cx="812006" cy="895350"/>
    <xdr:pic>
      <xdr:nvPicPr>
        <xdr:cNvPr id="10" name="図 1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40067"/>
        <a:stretch>
          <a:fillRect/>
        </a:stretch>
      </xdr:blipFill>
      <xdr:spPr bwMode="auto">
        <a:xfrm>
          <a:off x="8777288" y="2445544"/>
          <a:ext cx="812006"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333375</xdr:colOff>
      <xdr:row>17</xdr:row>
      <xdr:rowOff>38100</xdr:rowOff>
    </xdr:from>
    <xdr:ext cx="704850" cy="509588"/>
    <xdr:pic>
      <xdr:nvPicPr>
        <xdr:cNvPr id="11" name="図 23">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13837" t="14397" r="17206" b="10080"/>
        <a:stretch>
          <a:fillRect/>
        </a:stretch>
      </xdr:blipFill>
      <xdr:spPr bwMode="auto">
        <a:xfrm>
          <a:off x="8262938" y="2264569"/>
          <a:ext cx="704850" cy="5095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8</xdr:col>
      <xdr:colOff>83343</xdr:colOff>
      <xdr:row>17</xdr:row>
      <xdr:rowOff>15592</xdr:rowOff>
    </xdr:from>
    <xdr:to>
      <xdr:col>8</xdr:col>
      <xdr:colOff>773616</xdr:colOff>
      <xdr:row>17</xdr:row>
      <xdr:rowOff>257966</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8012906" y="2242061"/>
          <a:ext cx="690273" cy="242374"/>
        </a:xfrm>
        <a:prstGeom prst="rect">
          <a:avLst/>
        </a:prstGeom>
      </xdr:spPr>
      <xdr:txBody>
        <a:bodyPr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en-US" altLang="ja-JP" sz="900" i="0">
              <a:latin typeface="+mj-ea"/>
              <a:ea typeface="+mj-ea"/>
            </a:rPr>
            <a:t>TAF</a:t>
          </a:r>
          <a:r>
            <a:rPr lang="ja-JP" altLang="en-US" sz="900" i="0">
              <a:latin typeface="+mj-ea"/>
              <a:ea typeface="+mj-ea"/>
            </a:rPr>
            <a:t>Ｉ</a:t>
          </a:r>
          <a:r>
            <a:rPr lang="en-US" altLang="ja-JP" sz="900" i="0">
              <a:latin typeface="+mj-ea"/>
              <a:ea typeface="+mj-ea"/>
            </a:rPr>
            <a:t>P39L</a:t>
          </a:r>
          <a:endParaRPr lang="ja-JP" altLang="en-US" sz="900" i="0">
            <a:latin typeface="+mj-ea"/>
            <a:ea typeface="+mj-ea"/>
          </a:endParaRPr>
        </a:p>
      </xdr:txBody>
    </xdr:sp>
    <xdr:clientData/>
  </xdr:twoCellAnchor>
  <xdr:twoCellAnchor>
    <xdr:from>
      <xdr:col>8</xdr:col>
      <xdr:colOff>32552</xdr:colOff>
      <xdr:row>18</xdr:row>
      <xdr:rowOff>110655</xdr:rowOff>
    </xdr:from>
    <xdr:to>
      <xdr:col>8</xdr:col>
      <xdr:colOff>620599</xdr:colOff>
      <xdr:row>19</xdr:row>
      <xdr:rowOff>157789</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7962115" y="2694311"/>
          <a:ext cx="588047" cy="392416"/>
        </a:xfrm>
        <a:prstGeom prst="rect">
          <a:avLst/>
        </a:prstGeom>
      </xdr:spPr>
      <xdr:txBody>
        <a:bodyPr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l"/>
          <a:r>
            <a:rPr lang="en-US" altLang="ja-JP" sz="900" i="0">
              <a:latin typeface="+mj-ea"/>
              <a:ea typeface="+mj-ea"/>
            </a:rPr>
            <a:t>TAF</a:t>
          </a:r>
        </a:p>
        <a:p>
          <a:pPr algn="l"/>
          <a:r>
            <a:rPr lang="ja-JP" altLang="en-US" sz="900" i="0">
              <a:latin typeface="+mj-ea"/>
              <a:ea typeface="+mj-ea"/>
            </a:rPr>
            <a:t>Ｉ</a:t>
          </a:r>
          <a:r>
            <a:rPr lang="en-US" altLang="ja-JP" sz="900" i="0">
              <a:latin typeface="+mj-ea"/>
              <a:ea typeface="+mj-ea"/>
            </a:rPr>
            <a:t>P75L</a:t>
          </a:r>
          <a:endParaRPr lang="ja-JP" altLang="en-US" sz="900" i="0">
            <a:latin typeface="+mj-ea"/>
            <a:ea typeface="+mj-ea"/>
          </a:endParaRPr>
        </a:p>
      </xdr:txBody>
    </xdr:sp>
    <xdr:clientData/>
  </xdr:twoCellAnchor>
  <xdr:twoCellAnchor>
    <xdr:from>
      <xdr:col>8</xdr:col>
      <xdr:colOff>1179573</xdr:colOff>
      <xdr:row>16</xdr:row>
      <xdr:rowOff>348228</xdr:rowOff>
    </xdr:from>
    <xdr:to>
      <xdr:col>9</xdr:col>
      <xdr:colOff>136464</xdr:colOff>
      <xdr:row>18</xdr:row>
      <xdr:rowOff>26267</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9109136" y="2217509"/>
          <a:ext cx="588047" cy="392414"/>
        </a:xfrm>
        <a:prstGeom prst="rect">
          <a:avLst/>
        </a:prstGeom>
      </xdr:spPr>
      <xdr:txBody>
        <a:bodyPr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l"/>
          <a:r>
            <a:rPr lang="en-US" altLang="ja-JP" sz="900" i="0">
              <a:latin typeface="+mj-ea"/>
              <a:ea typeface="+mj-ea"/>
            </a:rPr>
            <a:t>TAF</a:t>
          </a:r>
        </a:p>
        <a:p>
          <a:pPr algn="l"/>
          <a:r>
            <a:rPr lang="ja-JP" altLang="en-US" sz="900" i="0">
              <a:latin typeface="+mj-ea"/>
              <a:ea typeface="+mj-ea"/>
            </a:rPr>
            <a:t>Ｉ</a:t>
          </a:r>
          <a:r>
            <a:rPr lang="en-US" altLang="ja-JP" sz="900" i="0">
              <a:latin typeface="+mj-ea"/>
              <a:ea typeface="+mj-ea"/>
            </a:rPr>
            <a:t>P104L</a:t>
          </a:r>
        </a:p>
      </xdr:txBody>
    </xdr:sp>
    <xdr:clientData/>
  </xdr:twoCellAnchor>
  <xdr:oneCellAnchor>
    <xdr:from>
      <xdr:col>8</xdr:col>
      <xdr:colOff>238125</xdr:colOff>
      <xdr:row>17</xdr:row>
      <xdr:rowOff>342900</xdr:rowOff>
    </xdr:from>
    <xdr:ext cx="771525" cy="828675"/>
    <xdr:pic>
      <xdr:nvPicPr>
        <xdr:cNvPr id="15" name="図 29">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l="37270"/>
        <a:stretch>
          <a:fillRect/>
        </a:stretch>
      </xdr:blipFill>
      <xdr:spPr bwMode="auto">
        <a:xfrm>
          <a:off x="8167688" y="2569369"/>
          <a:ext cx="771525"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847725</xdr:colOff>
      <xdr:row>17</xdr:row>
      <xdr:rowOff>219075</xdr:rowOff>
    </xdr:from>
    <xdr:ext cx="812006" cy="895350"/>
    <xdr:pic>
      <xdr:nvPicPr>
        <xdr:cNvPr id="16" name="図 19">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40067"/>
        <a:stretch>
          <a:fillRect/>
        </a:stretch>
      </xdr:blipFill>
      <xdr:spPr bwMode="auto">
        <a:xfrm>
          <a:off x="8777288" y="2445544"/>
          <a:ext cx="812006"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03"/>
  <sheetViews>
    <sheetView tabSelected="1" zoomScale="80" zoomScaleNormal="80" zoomScaleSheetLayoutView="100" workbookViewId="0">
      <selection activeCell="C8" sqref="C8"/>
    </sheetView>
  </sheetViews>
  <sheetFormatPr defaultRowHeight="13.5" x14ac:dyDescent="0.15"/>
  <cols>
    <col min="1" max="1" width="3.625" style="4" customWidth="1"/>
    <col min="2" max="5" width="14.875" style="4" customWidth="1"/>
    <col min="6" max="7" width="9.875" style="4" customWidth="1"/>
    <col min="8" max="9" width="21.375" style="4" customWidth="1"/>
    <col min="10" max="11" width="14.875" style="4" customWidth="1"/>
    <col min="12" max="12" width="11.625" style="4" customWidth="1"/>
    <col min="13" max="14" width="14.875" style="4" customWidth="1"/>
    <col min="15" max="15" width="10.625" style="4" customWidth="1"/>
    <col min="16" max="34" width="10.625" style="4" hidden="1" customWidth="1"/>
    <col min="35" max="35" width="10.625" style="4" customWidth="1"/>
    <col min="36" max="16384" width="9" style="4"/>
  </cols>
  <sheetData>
    <row r="1" spans="1:33" x14ac:dyDescent="0.15">
      <c r="A1" s="1"/>
      <c r="B1" s="2"/>
      <c r="C1" s="2"/>
      <c r="D1" s="2"/>
      <c r="E1" s="2"/>
      <c r="F1" s="2"/>
      <c r="G1" s="2"/>
      <c r="H1" s="2"/>
      <c r="I1" s="2"/>
      <c r="J1" s="2"/>
      <c r="K1" s="2"/>
      <c r="L1" s="2"/>
      <c r="M1" s="2"/>
      <c r="N1" s="3"/>
    </row>
    <row r="2" spans="1:33" ht="42" x14ac:dyDescent="0.4">
      <c r="A2" s="5" t="s">
        <v>47</v>
      </c>
      <c r="B2" s="6"/>
      <c r="C2" s="7"/>
      <c r="D2" s="7"/>
      <c r="E2" s="7"/>
      <c r="F2" s="7"/>
      <c r="G2" s="7"/>
      <c r="H2" s="7"/>
      <c r="I2" s="7"/>
      <c r="J2" s="7"/>
      <c r="K2" s="7"/>
      <c r="L2" s="7"/>
      <c r="M2" s="7"/>
      <c r="N2" s="8" t="s">
        <v>48</v>
      </c>
    </row>
    <row r="3" spans="1:33" x14ac:dyDescent="0.15">
      <c r="A3" s="9"/>
      <c r="B3" s="7"/>
      <c r="C3" s="7"/>
      <c r="D3" s="7"/>
      <c r="E3" s="7"/>
      <c r="F3" s="7"/>
      <c r="G3" s="7"/>
      <c r="H3" s="7"/>
      <c r="I3" s="7"/>
      <c r="J3" s="7"/>
      <c r="K3" s="7"/>
      <c r="L3" s="7"/>
      <c r="M3" s="7"/>
      <c r="N3" s="10"/>
    </row>
    <row r="4" spans="1:33" ht="14.25" thickBot="1" x14ac:dyDescent="0.2">
      <c r="A4" s="11"/>
      <c r="B4" s="12"/>
      <c r="C4" s="12"/>
      <c r="D4" s="12"/>
      <c r="E4" s="12"/>
      <c r="F4" s="12"/>
      <c r="G4" s="12"/>
      <c r="H4" s="12"/>
      <c r="I4" s="12"/>
      <c r="J4" s="12"/>
      <c r="K4" s="12"/>
      <c r="L4" s="12"/>
      <c r="M4" s="12"/>
      <c r="N4" s="13"/>
    </row>
    <row r="5" spans="1:33" ht="30" customHeight="1" x14ac:dyDescent="0.15">
      <c r="A5" s="14"/>
      <c r="B5" s="15" t="s">
        <v>0</v>
      </c>
      <c r="C5" s="16"/>
      <c r="D5" s="16"/>
      <c r="E5" s="16"/>
      <c r="F5" s="16"/>
      <c r="G5" s="16"/>
      <c r="H5" s="16"/>
      <c r="I5" s="16"/>
      <c r="J5" s="16"/>
      <c r="K5" s="16"/>
      <c r="L5" s="17"/>
      <c r="M5" s="18"/>
      <c r="N5" s="19"/>
      <c r="P5" s="22"/>
    </row>
    <row r="6" spans="1:33" ht="6.75" customHeight="1" x14ac:dyDescent="0.15">
      <c r="A6" s="20"/>
      <c r="N6" s="21"/>
      <c r="P6" s="22"/>
      <c r="Q6" s="23"/>
    </row>
    <row r="7" spans="1:33" ht="27.75" customHeight="1" thickBot="1" x14ac:dyDescent="0.3">
      <c r="A7" s="20"/>
      <c r="B7" s="72" t="s">
        <v>1</v>
      </c>
      <c r="C7" s="72" t="s">
        <v>2</v>
      </c>
      <c r="D7" s="72"/>
      <c r="E7" s="72" t="s">
        <v>3</v>
      </c>
      <c r="F7" s="24"/>
      <c r="H7" s="59"/>
      <c r="I7" s="26"/>
      <c r="L7" s="27"/>
      <c r="N7" s="21"/>
      <c r="R7" s="53"/>
      <c r="S7" s="53"/>
      <c r="T7" s="53"/>
      <c r="U7" s="53"/>
      <c r="V7" s="53"/>
      <c r="W7" s="53"/>
      <c r="X7" s="53"/>
      <c r="Y7" s="53"/>
      <c r="Z7" s="53"/>
      <c r="AA7" s="53"/>
      <c r="AB7" s="54"/>
      <c r="AC7" s="54"/>
      <c r="AD7" s="24"/>
    </row>
    <row r="8" spans="1:33" ht="27.75" customHeight="1" thickBot="1" x14ac:dyDescent="0.25">
      <c r="A8" s="30"/>
      <c r="B8" s="24" t="s">
        <v>16</v>
      </c>
      <c r="C8" s="31"/>
      <c r="D8" s="32"/>
      <c r="E8" s="31"/>
      <c r="F8" s="4" t="s">
        <v>17</v>
      </c>
      <c r="G8"/>
      <c r="H8" s="83"/>
      <c r="I8" s="83"/>
      <c r="J8" s="83"/>
      <c r="K8" s="83"/>
      <c r="L8" s="84"/>
      <c r="M8" s="84"/>
      <c r="N8" s="21"/>
      <c r="P8" s="55" t="s">
        <v>41</v>
      </c>
      <c r="Q8" s="55"/>
      <c r="R8" s="53"/>
      <c r="S8" s="53"/>
      <c r="T8" s="53"/>
      <c r="U8" s="53"/>
      <c r="V8" s="53"/>
      <c r="W8" s="53"/>
      <c r="X8" s="53"/>
      <c r="Y8" s="53"/>
      <c r="Z8" s="53"/>
      <c r="AA8" s="53"/>
    </row>
    <row r="9" spans="1:33" ht="21.75" thickBot="1" x14ac:dyDescent="0.25">
      <c r="A9" s="33"/>
      <c r="B9" s="24"/>
      <c r="C9" s="32"/>
      <c r="D9" s="32"/>
      <c r="E9" s="32"/>
      <c r="H9" s="63"/>
      <c r="I9" s="84"/>
      <c r="J9" s="64"/>
      <c r="K9" s="24"/>
      <c r="L9" s="65"/>
      <c r="M9" s="24"/>
      <c r="N9" s="21"/>
      <c r="P9" s="29"/>
      <c r="Q9" s="74" t="s">
        <v>31</v>
      </c>
      <c r="R9" s="75"/>
      <c r="S9" s="28" t="s">
        <v>4</v>
      </c>
      <c r="T9" s="28" t="s">
        <v>5</v>
      </c>
      <c r="U9" s="28" t="s">
        <v>6</v>
      </c>
      <c r="V9" s="28" t="s">
        <v>7</v>
      </c>
      <c r="W9" s="28" t="s">
        <v>8</v>
      </c>
      <c r="X9" s="28" t="s">
        <v>9</v>
      </c>
      <c r="Y9" s="28" t="s">
        <v>10</v>
      </c>
      <c r="Z9" s="28" t="s">
        <v>11</v>
      </c>
      <c r="AA9" s="28" t="s">
        <v>12</v>
      </c>
      <c r="AB9" s="28" t="s">
        <v>13</v>
      </c>
      <c r="AC9" s="76" t="s">
        <v>14</v>
      </c>
      <c r="AD9" s="76"/>
      <c r="AE9" s="29" t="s">
        <v>15</v>
      </c>
      <c r="AF9" s="29" t="s">
        <v>39</v>
      </c>
      <c r="AG9" s="29" t="s">
        <v>40</v>
      </c>
    </row>
    <row r="10" spans="1:33" ht="27" customHeight="1" thickBot="1" x14ac:dyDescent="0.25">
      <c r="A10" s="20"/>
      <c r="B10" s="24" t="s">
        <v>21</v>
      </c>
      <c r="C10" s="31"/>
      <c r="D10" s="32"/>
      <c r="E10" s="31"/>
      <c r="F10" s="4" t="s">
        <v>17</v>
      </c>
      <c r="H10" s="63"/>
      <c r="I10" s="84"/>
      <c r="J10" s="64"/>
      <c r="K10" s="24"/>
      <c r="L10" s="65"/>
      <c r="M10" s="24"/>
      <c r="N10" s="21"/>
      <c r="P10" s="29">
        <v>16</v>
      </c>
      <c r="Q10" s="73" t="s">
        <v>35</v>
      </c>
      <c r="R10" s="73"/>
      <c r="S10" s="56" t="str">
        <f>IF(C8=16,ROUNDDOWN(E8/AG10,0),"0")</f>
        <v>0</v>
      </c>
      <c r="T10" s="56" t="str">
        <f>IF(C10=16,ROUNDDOWN(E10/AG10,0),"0")</f>
        <v>0</v>
      </c>
      <c r="U10" s="56" t="str">
        <f>IF(C12=16,ROUNDDOWN(E12/AG10,0),"0")</f>
        <v>0</v>
      </c>
      <c r="V10" s="56" t="str">
        <f>IF(C14=16,ROUNDDOWN(E14/AG10,0),"0")</f>
        <v>0</v>
      </c>
      <c r="W10" s="56" t="str">
        <f>IF(C16=16,ROUNDDOWN(E16/AG10,0),"0")</f>
        <v>0</v>
      </c>
      <c r="X10" s="56" t="str">
        <f>IF(C18=16,ROUNDDOWN(E18/AG10,0),"0")</f>
        <v>0</v>
      </c>
      <c r="Y10" s="56" t="str">
        <f>IF(C20=16,ROUNDDOWN(E20/AG10,0),"0")</f>
        <v>0</v>
      </c>
      <c r="Z10" s="56" t="str">
        <f>IF(C22=16,ROUNDDOWN(E22/AG10,0),"0")</f>
        <v>0</v>
      </c>
      <c r="AA10" s="56" t="str">
        <f>IF(C24=16,ROUNDDOWN(E24/AG10,0),"0")</f>
        <v>0</v>
      </c>
      <c r="AB10" s="56" t="str">
        <f>IF(C26=16,ROUNDDOWN(E26/AG10,0),"0")</f>
        <v>0</v>
      </c>
      <c r="AC10" s="60">
        <f>ROUNDUP((S10+T10+U10+V10+W10+X10+Y10+Z10+AA10+AB10),0)</f>
        <v>0</v>
      </c>
      <c r="AD10" s="57" t="s">
        <v>20</v>
      </c>
      <c r="AE10" s="58">
        <v>6600</v>
      </c>
      <c r="AF10" s="29">
        <v>100</v>
      </c>
      <c r="AG10" s="29">
        <v>25</v>
      </c>
    </row>
    <row r="11" spans="1:33" ht="27" customHeight="1" thickBot="1" x14ac:dyDescent="0.25">
      <c r="A11" s="20"/>
      <c r="B11" s="24"/>
      <c r="C11" s="39"/>
      <c r="D11" s="32"/>
      <c r="E11" s="39"/>
      <c r="H11" s="63"/>
      <c r="I11" s="84"/>
      <c r="J11" s="64"/>
      <c r="K11" s="24"/>
      <c r="L11" s="65"/>
      <c r="M11" s="24"/>
      <c r="N11" s="21"/>
      <c r="P11" s="29">
        <v>19</v>
      </c>
      <c r="Q11" s="73" t="s">
        <v>35</v>
      </c>
      <c r="R11" s="73"/>
      <c r="S11" s="37" t="str">
        <f>IF(C8=19,ROUNDDOWN(E8/AG11,0),"0")</f>
        <v>0</v>
      </c>
      <c r="T11" s="37" t="str">
        <f>IF(C10=19,ROUNDDOWN(E10/AG11,0),"0")</f>
        <v>0</v>
      </c>
      <c r="U11" s="37" t="str">
        <f>IF(C12=19,ROUNDDOWN(E12/AG11,0),"0")</f>
        <v>0</v>
      </c>
      <c r="V11" s="37" t="str">
        <f>IF(C14=19,ROUNDDOWN(E14/AG11,0),"0")</f>
        <v>0</v>
      </c>
      <c r="W11" s="37" t="str">
        <f>IF(C16=19,ROUNDDOWN(E16/AG11,0),"0")</f>
        <v>0</v>
      </c>
      <c r="X11" s="37" t="str">
        <f>IF(C18=19,ROUNDDOWN(E18/AG11,0),"0")</f>
        <v>0</v>
      </c>
      <c r="Y11" s="37" t="str">
        <f>IF(C20=19,ROUNDDOWN(E20/AG11,0),"0")</f>
        <v>0</v>
      </c>
      <c r="Z11" s="37" t="str">
        <f>IF(C22=19,ROUNDDOWN(E22/AG11,0),"0")</f>
        <v>0</v>
      </c>
      <c r="AA11" s="37" t="str">
        <f>IF(C24=19,ROUNDDOWN(E24/AG11,0),"0")</f>
        <v>0</v>
      </c>
      <c r="AB11" s="37" t="str">
        <f>IF(C26=19,ROUNDDOWN(E26/AG11,0),"0")</f>
        <v>0</v>
      </c>
      <c r="AC11" s="61">
        <f t="shared" ref="AC11:AC21" si="0">ROUNDUP((S11+T11+U11+V11+W11+X11+Y11+Z11+AA11+AB11),0)</f>
        <v>0</v>
      </c>
      <c r="AD11" s="38" t="s">
        <v>20</v>
      </c>
      <c r="AE11" s="40">
        <v>6600</v>
      </c>
      <c r="AF11" s="29">
        <v>88</v>
      </c>
      <c r="AG11" s="29">
        <v>28</v>
      </c>
    </row>
    <row r="12" spans="1:33" ht="27" customHeight="1" thickBot="1" x14ac:dyDescent="0.25">
      <c r="A12" s="20"/>
      <c r="B12" s="24" t="s">
        <v>22</v>
      </c>
      <c r="C12" s="31"/>
      <c r="D12" s="32"/>
      <c r="E12" s="31"/>
      <c r="F12" s="4" t="s">
        <v>17</v>
      </c>
      <c r="H12" s="24"/>
      <c r="I12" s="44"/>
      <c r="L12" s="66"/>
      <c r="M12" s="24"/>
      <c r="N12" s="21"/>
      <c r="P12" s="29">
        <v>22</v>
      </c>
      <c r="Q12" s="73" t="s">
        <v>35</v>
      </c>
      <c r="R12" s="73"/>
      <c r="S12" s="37" t="str">
        <f>IF(C8=22,ROUNDDOWN(E8/AG12,0),"0")</f>
        <v>0</v>
      </c>
      <c r="T12" s="37" t="str">
        <f>IF(C10=22,ROUNDDOWN(E10/AG12,0),"0")</f>
        <v>0</v>
      </c>
      <c r="U12" s="37" t="str">
        <f>IF(C12=22,ROUNDDOWN(E12/AG12,0),"0")</f>
        <v>0</v>
      </c>
      <c r="V12" s="37" t="str">
        <f>IF(C14=22,ROUNDDOWN(E14/AG12,0),"0")</f>
        <v>0</v>
      </c>
      <c r="W12" s="37" t="str">
        <f>IF(C16=22,ROUNDDOWN(E16/AG12,0),"0")</f>
        <v>0</v>
      </c>
      <c r="X12" s="37" t="str">
        <f>IF(C18=22,ROUNDDOWN(E18/AG12,0),"0")</f>
        <v>0</v>
      </c>
      <c r="Y12" s="37" t="str">
        <f>IF(C20=22,ROUNDDOWN(E20/AG12,0),"0")</f>
        <v>0</v>
      </c>
      <c r="Z12" s="37" t="str">
        <f>IF(C22=22,ROUNDDOWN(E22/AG12,0),"0")</f>
        <v>0</v>
      </c>
      <c r="AA12" s="37" t="str">
        <f>IF(C24=22,ROUNDDOWN(E24/AG12,0),"0")</f>
        <v>0</v>
      </c>
      <c r="AB12" s="37" t="str">
        <f>IF(C26=22,ROUNDDOWN(E26/AG12,0),"0")</f>
        <v>0</v>
      </c>
      <c r="AC12" s="61">
        <f t="shared" si="0"/>
        <v>0</v>
      </c>
      <c r="AD12" s="38" t="s">
        <v>20</v>
      </c>
      <c r="AE12" s="40">
        <v>6600</v>
      </c>
      <c r="AF12" s="29">
        <v>113</v>
      </c>
      <c r="AG12" s="29">
        <v>22</v>
      </c>
    </row>
    <row r="13" spans="1:33" ht="27" customHeight="1" thickBot="1" x14ac:dyDescent="0.25">
      <c r="A13" s="20"/>
      <c r="B13" s="24"/>
      <c r="C13" s="32"/>
      <c r="D13" s="32"/>
      <c r="E13" s="39"/>
      <c r="H13" s="41"/>
      <c r="I13" s="42"/>
      <c r="N13" s="21"/>
      <c r="P13" s="29">
        <v>25</v>
      </c>
      <c r="Q13" s="73" t="s">
        <v>35</v>
      </c>
      <c r="R13" s="73"/>
      <c r="S13" s="37" t="str">
        <f>IF(C8=25,ROUNDDOWN(E8/AG13,0),"0")</f>
        <v>0</v>
      </c>
      <c r="T13" s="37" t="str">
        <f>IF(C10=25,ROUNDDOWN(E10/AG13,0),"0")</f>
        <v>0</v>
      </c>
      <c r="U13" s="37" t="str">
        <f>IF(C12=25,ROUNDDOWN(E12/AG13,0),"0")</f>
        <v>0</v>
      </c>
      <c r="V13" s="37" t="str">
        <f>IF(C14=25,ROUNDDOWN(E14/AG13,0),"0")</f>
        <v>0</v>
      </c>
      <c r="W13" s="37" t="str">
        <f>IF(C16=25,ROUNDDOWN(E16/AG13,0),"0")</f>
        <v>0</v>
      </c>
      <c r="X13" s="37" t="str">
        <f>IF(C18=25,ROUNDDOWN(E18/AG13,0),"0")</f>
        <v>0</v>
      </c>
      <c r="Y13" s="37" t="str">
        <f>IF(C20=25,ROUNDDOWN(E20/AG13,0),"0")</f>
        <v>0</v>
      </c>
      <c r="Z13" s="37" t="str">
        <f>IF(C22=25,ROUNDDOWN(E22/AG13,0),"0")</f>
        <v>0</v>
      </c>
      <c r="AA13" s="37" t="str">
        <f>IF(C24=25,ROUNDDOWN(E24/AG13,0),"0")</f>
        <v>0</v>
      </c>
      <c r="AB13" s="37" t="str">
        <f>IF(C26=25,ROUNDDOWN(E26/AG13,0),"0")</f>
        <v>0</v>
      </c>
      <c r="AC13" s="61">
        <f t="shared" si="0"/>
        <v>0</v>
      </c>
      <c r="AD13" s="38" t="s">
        <v>20</v>
      </c>
      <c r="AE13" s="40">
        <v>6600</v>
      </c>
      <c r="AF13" s="29">
        <v>119</v>
      </c>
      <c r="AG13" s="29">
        <v>21</v>
      </c>
    </row>
    <row r="14" spans="1:33" ht="27" customHeight="1" thickBot="1" x14ac:dyDescent="0.25">
      <c r="A14" s="20"/>
      <c r="B14" s="24" t="s">
        <v>24</v>
      </c>
      <c r="C14" s="31"/>
      <c r="D14" s="32"/>
      <c r="E14" s="31"/>
      <c r="F14" s="4" t="s">
        <v>17</v>
      </c>
      <c r="H14" s="42"/>
      <c r="I14" s="42"/>
      <c r="L14" s="43"/>
      <c r="M14" s="44"/>
      <c r="N14" s="21"/>
      <c r="P14" s="29">
        <v>28</v>
      </c>
      <c r="Q14" s="73" t="s">
        <v>35</v>
      </c>
      <c r="R14" s="73"/>
      <c r="S14" s="37" t="str">
        <f>IF(C8=28,ROUNDDOWN(E8/AG14,0),"0")</f>
        <v>0</v>
      </c>
      <c r="T14" s="37" t="str">
        <f>IF(C10=28,ROUNDDOWN(E10/AG14,0),"0")</f>
        <v>0</v>
      </c>
      <c r="U14" s="37" t="str">
        <f>IF(C12=28,ROUNDDOWN(E12/AG14,0),"0")</f>
        <v>0</v>
      </c>
      <c r="V14" s="37" t="str">
        <f>IF(C14=28,ROUNDDOWN(E14/AG14,0),"0")</f>
        <v>0</v>
      </c>
      <c r="W14" s="37" t="str">
        <f>IF(C16=28,ROUNDDOWN(E16/AG14,0),"0")</f>
        <v>0</v>
      </c>
      <c r="X14" s="37" t="str">
        <f>IF(C18=28,ROUNDDOWN(E18/AG14,0),"0")</f>
        <v>0</v>
      </c>
      <c r="Y14" s="37" t="str">
        <f>IF(C20=28,ROUNDDOWN(E20/AG14,0),"0")</f>
        <v>0</v>
      </c>
      <c r="Z14" s="37" t="str">
        <f>IF(C22=28,ROUNDDOWN(E22/AG14,0),"0")</f>
        <v>0</v>
      </c>
      <c r="AA14" s="37" t="str">
        <f>IF(C24=28,ROUNDDOWN(E24/AG14,0),"0")</f>
        <v>0</v>
      </c>
      <c r="AB14" s="37" t="str">
        <f>IF(C26=28,ROUNDDOWN(E26/AG14,0),"0")</f>
        <v>0</v>
      </c>
      <c r="AC14" s="61">
        <f t="shared" si="0"/>
        <v>0</v>
      </c>
      <c r="AD14" s="38" t="s">
        <v>20</v>
      </c>
      <c r="AE14" s="40">
        <v>6600</v>
      </c>
      <c r="AF14" s="29">
        <v>138</v>
      </c>
      <c r="AG14" s="29">
        <v>18</v>
      </c>
    </row>
    <row r="15" spans="1:33" ht="27" customHeight="1" thickBot="1" x14ac:dyDescent="0.25">
      <c r="A15" s="20"/>
      <c r="B15" s="24"/>
      <c r="C15" s="32"/>
      <c r="D15" s="32"/>
      <c r="E15" s="32"/>
      <c r="N15" s="21"/>
      <c r="P15" s="29">
        <v>31</v>
      </c>
      <c r="Q15" s="73" t="s">
        <v>35</v>
      </c>
      <c r="R15" s="73"/>
      <c r="S15" s="37" t="str">
        <f>IF(C8=31,ROUNDDOWN(E8/AG15,0),"0")</f>
        <v>0</v>
      </c>
      <c r="T15" s="37" t="str">
        <f>IF(C10=31,ROUNDDOWN(E10/AG15,0),"0")</f>
        <v>0</v>
      </c>
      <c r="U15" s="37" t="str">
        <f>IF(C12=31,ROUNDDOWN(E12/AG15,0),"0")</f>
        <v>0</v>
      </c>
      <c r="V15" s="37" t="str">
        <f>IF(C14=31,ROUNDDOWN(E14/AG15,0),"0")</f>
        <v>0</v>
      </c>
      <c r="W15" s="37" t="str">
        <f>IF(C16=31,ROUNDDOWN(E16/AG15,0),"0")</f>
        <v>0</v>
      </c>
      <c r="X15" s="37" t="str">
        <f>IF(C18=31,ROUNDDOWN(E18/AG15,0),"0")</f>
        <v>0</v>
      </c>
      <c r="Y15" s="37" t="str">
        <f>IF(C20=31,ROUNDDOWN(E20/AG15,0),"0")</f>
        <v>0</v>
      </c>
      <c r="Z15" s="37" t="str">
        <f>IF(C22=31,ROUNDDOWN(E22/AG15,0),"0")</f>
        <v>0</v>
      </c>
      <c r="AA15" s="37" t="str">
        <f>IF(C24=31,ROUNDDOWN(E24/AG15,0),"0")</f>
        <v>0</v>
      </c>
      <c r="AB15" s="37" t="str">
        <f>IF(C26=31,ROUNDDOWN(E26/AG15,0),"0")</f>
        <v>0</v>
      </c>
      <c r="AC15" s="61">
        <f t="shared" si="0"/>
        <v>0</v>
      </c>
      <c r="AD15" s="38" t="s">
        <v>20</v>
      </c>
      <c r="AE15" s="40">
        <v>6600</v>
      </c>
      <c r="AF15" s="29">
        <v>135</v>
      </c>
      <c r="AG15" s="29">
        <v>18</v>
      </c>
    </row>
    <row r="16" spans="1:33" ht="27" customHeight="1" thickBot="1" x14ac:dyDescent="0.3">
      <c r="A16" s="20"/>
      <c r="B16" s="24" t="s">
        <v>25</v>
      </c>
      <c r="C16" s="31"/>
      <c r="D16" s="32"/>
      <c r="E16" s="31"/>
      <c r="F16" s="4" t="s">
        <v>17</v>
      </c>
      <c r="H16" s="25" t="s">
        <v>38</v>
      </c>
      <c r="I16" s="26"/>
      <c r="L16" s="27"/>
      <c r="N16" s="21"/>
      <c r="P16" s="29">
        <v>36</v>
      </c>
      <c r="Q16" s="73" t="s">
        <v>35</v>
      </c>
      <c r="R16" s="73"/>
      <c r="S16" s="37" t="str">
        <f>IF(C8=36,ROUNDDOWN(E8/AG16,0),"0")</f>
        <v>0</v>
      </c>
      <c r="T16" s="37" t="str">
        <f>IF(C10=36,ROUNDDOWN(E10/AG16,0),"0")</f>
        <v>0</v>
      </c>
      <c r="U16" s="37" t="str">
        <f>IF(C12=36,ROUNDDOWN(E12/AG16,0),"0")</f>
        <v>0</v>
      </c>
      <c r="V16" s="37" t="str">
        <f>IF(C14=36,ROUNDDOWN(E14/AG16,0),"0")</f>
        <v>0</v>
      </c>
      <c r="W16" s="37" t="str">
        <f>IF(C16=36,ROUNDDOWN(E16/AG16,0),"0")</f>
        <v>0</v>
      </c>
      <c r="X16" s="37" t="str">
        <f>IF(C18=36,ROUNDDOWN(E18/AG16,0),"0")</f>
        <v>0</v>
      </c>
      <c r="Y16" s="37" t="str">
        <f>IF(C20=36,ROUNDDOWN(E20/AG16,0),"0")</f>
        <v>0</v>
      </c>
      <c r="Z16" s="37" t="str">
        <f>IF(C22=36,ROUNDDOWN(E22/AG16,0),"0")</f>
        <v>0</v>
      </c>
      <c r="AA16" s="37" t="str">
        <f>IF(C24=36,ROUNDDOWN(E24/AG16,0),"0")</f>
        <v>0</v>
      </c>
      <c r="AB16" s="37" t="str">
        <f>IF(C26=36,ROUNDDOWN(E26/AG16,0),"0")</f>
        <v>0</v>
      </c>
      <c r="AC16" s="61">
        <f t="shared" si="0"/>
        <v>0</v>
      </c>
      <c r="AD16" s="38" t="s">
        <v>20</v>
      </c>
      <c r="AE16" s="40">
        <v>6600</v>
      </c>
      <c r="AF16" s="29">
        <v>177</v>
      </c>
      <c r="AG16" s="29">
        <v>14</v>
      </c>
    </row>
    <row r="17" spans="1:33" ht="27" customHeight="1" thickBot="1" x14ac:dyDescent="0.25">
      <c r="A17" s="20"/>
      <c r="B17" s="24"/>
      <c r="C17" s="39"/>
      <c r="D17" s="32"/>
      <c r="E17" s="39"/>
      <c r="H17" s="77" t="s">
        <v>18</v>
      </c>
      <c r="I17" s="78"/>
      <c r="J17" s="79" t="s">
        <v>19</v>
      </c>
      <c r="K17" s="80"/>
      <c r="N17" s="21"/>
      <c r="P17" s="29">
        <v>39</v>
      </c>
      <c r="Q17" s="73" t="s">
        <v>35</v>
      </c>
      <c r="R17" s="73"/>
      <c r="S17" s="37" t="str">
        <f>IF(C8=39,ROUNDDOWN(E8/AG17,0),"0")</f>
        <v>0</v>
      </c>
      <c r="T17" s="37" t="str">
        <f>IF(C10=39,ROUNDDOWN(E10/AG17,0),"0")</f>
        <v>0</v>
      </c>
      <c r="U17" s="37" t="str">
        <f>IF(C12=39,ROUNDDOWN(E12/AG17,0),"0")</f>
        <v>0</v>
      </c>
      <c r="V17" s="37" t="str">
        <f>IF(C14=39,ROUNDDOWN(E14/AG17,0),"0")</f>
        <v>0</v>
      </c>
      <c r="W17" s="37" t="str">
        <f>IF(C16=39,ROUNDDOWN(E16/AG17,0),"0")</f>
        <v>0</v>
      </c>
      <c r="X17" s="37" t="str">
        <f>IF(C18=39,ROUNDDOWN(E18/AG17,0),"0")</f>
        <v>0</v>
      </c>
      <c r="Y17" s="37" t="str">
        <f>IF(C20=39,ROUNDDOWN(E20/AG17,0),"0")</f>
        <v>0</v>
      </c>
      <c r="Z17" s="37" t="str">
        <f>IF(C22=39,ROUNDDOWN(E22/AG17,0),"0")</f>
        <v>0</v>
      </c>
      <c r="AA17" s="37" t="str">
        <f>IF(C24=39,ROUNDDOWN(E24/AG17,0),"0")</f>
        <v>0</v>
      </c>
      <c r="AB17" s="37" t="str">
        <f>IF(C26=39,ROUNDDOWN(E26/AG17,0),"0")</f>
        <v>0</v>
      </c>
      <c r="AC17" s="61">
        <f t="shared" si="0"/>
        <v>0</v>
      </c>
      <c r="AD17" s="38" t="s">
        <v>20</v>
      </c>
      <c r="AE17" s="40">
        <v>6600</v>
      </c>
      <c r="AF17" s="29">
        <v>164</v>
      </c>
      <c r="AG17" s="29">
        <v>15</v>
      </c>
    </row>
    <row r="18" spans="1:33" ht="27" customHeight="1" thickBot="1" x14ac:dyDescent="0.25">
      <c r="A18" s="20"/>
      <c r="B18" s="24" t="s">
        <v>26</v>
      </c>
      <c r="C18" s="31"/>
      <c r="D18" s="32"/>
      <c r="E18" s="31"/>
      <c r="F18" s="4" t="s">
        <v>17</v>
      </c>
      <c r="H18" s="34" t="s">
        <v>32</v>
      </c>
      <c r="I18" s="81"/>
      <c r="J18" s="35">
        <f>ROUNDUP(AC10+AC11+AC12+AC13+AC14+AC15+AC16+AC17+AH36,0)</f>
        <v>0</v>
      </c>
      <c r="K18" s="36" t="s">
        <v>20</v>
      </c>
      <c r="N18" s="21"/>
      <c r="P18" s="29">
        <v>42</v>
      </c>
      <c r="Q18" s="73" t="s">
        <v>36</v>
      </c>
      <c r="R18" s="73"/>
      <c r="S18" s="37" t="str">
        <f>IF(C8=42,ROUNDDOWN(E8/AG18,0),"0")</f>
        <v>0</v>
      </c>
      <c r="T18" s="37" t="str">
        <f>IF(C10=42,ROUNDDOWN(E10/AG18,0),"0")</f>
        <v>0</v>
      </c>
      <c r="U18" s="37" t="str">
        <f>IF(C12=42,ROUNDDOWN(E12/AG18,0),"0")</f>
        <v>0</v>
      </c>
      <c r="V18" s="37" t="str">
        <f>IF(C14=42,ROUNDDOWN(E14/AG18,0),"0")</f>
        <v>0</v>
      </c>
      <c r="W18" s="37" t="str">
        <f>IF(C16=42,ROUNDDOWN(E16/AG18,0),"0")</f>
        <v>0</v>
      </c>
      <c r="X18" s="37" t="str">
        <f>IF(C18=42,ROUNDDOWN(E18/AG18,0),"0")</f>
        <v>0</v>
      </c>
      <c r="Y18" s="37" t="str">
        <f>IF(C20=42,ROUNDDOWN(E20/AG18,0),"0")</f>
        <v>0</v>
      </c>
      <c r="Z18" s="37" t="str">
        <f>IF(C22=42,ROUNDDOWN(E22/AG18,0),"0")</f>
        <v>0</v>
      </c>
      <c r="AA18" s="37" t="str">
        <f>IF(C24=42,ROUNDDOWN(E24/AG18,0),"0")</f>
        <v>0</v>
      </c>
      <c r="AB18" s="37" t="str">
        <f>IF(C26=42,ROUNDDOWN(E26/AG18,0),"0")</f>
        <v>0</v>
      </c>
      <c r="AC18" s="61">
        <f t="shared" si="0"/>
        <v>0</v>
      </c>
      <c r="AD18" s="38" t="s">
        <v>20</v>
      </c>
      <c r="AE18" s="40">
        <v>10700</v>
      </c>
      <c r="AF18" s="29">
        <v>192</v>
      </c>
      <c r="AG18" s="29">
        <v>12</v>
      </c>
    </row>
    <row r="19" spans="1:33" ht="27" customHeight="1" thickBot="1" x14ac:dyDescent="0.25">
      <c r="A19" s="20"/>
      <c r="B19" s="24"/>
      <c r="C19" s="39"/>
      <c r="D19" s="32"/>
      <c r="E19" s="39"/>
      <c r="H19" s="34" t="s">
        <v>33</v>
      </c>
      <c r="I19" s="82"/>
      <c r="J19" s="35">
        <f>ROUNDUP(AC18+AC19+AC20+AC21+AC22+AC23+AH42,0)</f>
        <v>0</v>
      </c>
      <c r="K19" s="36" t="s">
        <v>20</v>
      </c>
      <c r="N19" s="21"/>
      <c r="P19" s="29">
        <v>51</v>
      </c>
      <c r="Q19" s="73" t="s">
        <v>36</v>
      </c>
      <c r="R19" s="73"/>
      <c r="S19" s="37" t="str">
        <f>IF(C8=51,ROUNDDOWN(E8/AG19,0),"0")</f>
        <v>0</v>
      </c>
      <c r="T19" s="37" t="str">
        <f>IF(C10=51,ROUNDDOWN(E10/AG19,0),"0")</f>
        <v>0</v>
      </c>
      <c r="U19" s="37" t="str">
        <f>IF(C12=51,ROUNDDOWN(E12/AG19,0),"0")</f>
        <v>0</v>
      </c>
      <c r="V19" s="37" t="str">
        <f>IF(C14=51,ROUNDDOWN(E14/AG19,0),"0")</f>
        <v>0</v>
      </c>
      <c r="W19" s="37" t="str">
        <f>IF(C16=51,ROUNDDOWN(E16/AG19,0),"0")</f>
        <v>0</v>
      </c>
      <c r="X19" s="37" t="str">
        <f>IF(C18=51,ROUNDDOWN(E18/AG19,0),"0")</f>
        <v>0</v>
      </c>
      <c r="Y19" s="37" t="str">
        <f>IF(C20=51,ROUNDDOWN(E20/AG19,0),"0")</f>
        <v>0</v>
      </c>
      <c r="Z19" s="37" t="str">
        <f>IF(C22=51,ROUNDDOWN(E22/AG19,0),"0")</f>
        <v>0</v>
      </c>
      <c r="AA19" s="37" t="str">
        <f>IF(C24=51,ROUNDDOWN(E24/AG19,0),"0")</f>
        <v>0</v>
      </c>
      <c r="AB19" s="37" t="str">
        <f>IF(C26=51,ROUNDDOWN(E26/AG19,0),"0")</f>
        <v>0</v>
      </c>
      <c r="AC19" s="61">
        <f t="shared" si="0"/>
        <v>0</v>
      </c>
      <c r="AD19" s="38" t="s">
        <v>20</v>
      </c>
      <c r="AE19" s="40">
        <v>10700</v>
      </c>
      <c r="AF19" s="29">
        <v>209</v>
      </c>
      <c r="AG19" s="29">
        <v>11</v>
      </c>
    </row>
    <row r="20" spans="1:33" ht="27" customHeight="1" thickBot="1" x14ac:dyDescent="0.25">
      <c r="A20" s="20"/>
      <c r="B20" s="24" t="s">
        <v>27</v>
      </c>
      <c r="C20" s="31"/>
      <c r="D20" s="32"/>
      <c r="E20" s="31"/>
      <c r="F20" s="4" t="s">
        <v>17</v>
      </c>
      <c r="H20" s="67" t="s">
        <v>34</v>
      </c>
      <c r="I20" s="82"/>
      <c r="J20" s="62">
        <f>ROUNDUP(AC24+AC25+AC26+AH45,0)</f>
        <v>0</v>
      </c>
      <c r="K20" s="68" t="s">
        <v>20</v>
      </c>
      <c r="N20" s="45"/>
      <c r="P20" s="29">
        <v>54</v>
      </c>
      <c r="Q20" s="73" t="s">
        <v>36</v>
      </c>
      <c r="R20" s="73"/>
      <c r="S20" s="37" t="str">
        <f>IF(C8=54,ROUNDDOWN(E8/AG20,0),"0")</f>
        <v>0</v>
      </c>
      <c r="T20" s="37" t="str">
        <f>IF(C10=54,ROUNDDOWN(E10/AG20,0),"0")</f>
        <v>0</v>
      </c>
      <c r="U20" s="37" t="str">
        <f>IF(C12=54,ROUNDDOWN(E12/AG20,0),"0")</f>
        <v>0</v>
      </c>
      <c r="V20" s="37" t="str">
        <f>IF(C14=54,ROUNDDOWN(E14/AG20,0),"0")</f>
        <v>0</v>
      </c>
      <c r="W20" s="37" t="str">
        <f>IF(C16=54,ROUNDDOWN(E16/AG20,0),"0")</f>
        <v>0</v>
      </c>
      <c r="X20" s="37" t="str">
        <f>IF(C18=54,ROUNDDOWN(E18/AG20,0),"0")</f>
        <v>0</v>
      </c>
      <c r="Y20" s="37" t="str">
        <f>IF(C20=54,ROUNDDOWN(E20/AG20,0),"0")</f>
        <v>0</v>
      </c>
      <c r="Z20" s="37" t="str">
        <f>IF(C22=54,ROUNDDOWN(E22/AG20,0),"0")</f>
        <v>0</v>
      </c>
      <c r="AA20" s="37" t="str">
        <f>IF(C24=54,ROUNDDOWN(E24/AG20,0),"0")</f>
        <v>0</v>
      </c>
      <c r="AB20" s="37" t="str">
        <f>IF(C26=54,ROUNDDOWN(E26/AG20,0),"0")</f>
        <v>0</v>
      </c>
      <c r="AC20" s="61">
        <f t="shared" si="0"/>
        <v>0</v>
      </c>
      <c r="AD20" s="38" t="s">
        <v>20</v>
      </c>
      <c r="AE20" s="40">
        <v>10700</v>
      </c>
      <c r="AF20" s="29">
        <v>230</v>
      </c>
      <c r="AG20" s="29">
        <v>10</v>
      </c>
    </row>
    <row r="21" spans="1:33" ht="27" customHeight="1" thickBot="1" x14ac:dyDescent="0.25">
      <c r="A21" s="20"/>
      <c r="B21" s="24"/>
      <c r="C21" s="39"/>
      <c r="D21" s="32"/>
      <c r="E21" s="39"/>
      <c r="H21" s="69"/>
      <c r="I21" s="70"/>
      <c r="J21" s="71"/>
      <c r="K21" s="71"/>
      <c r="N21" s="45"/>
      <c r="P21" s="29">
        <v>63</v>
      </c>
      <c r="Q21" s="73" t="s">
        <v>36</v>
      </c>
      <c r="R21" s="73"/>
      <c r="S21" s="37" t="str">
        <f>IF(C8=63,ROUNDDOWN(E8/AG21,0),"0")</f>
        <v>0</v>
      </c>
      <c r="T21" s="37" t="str">
        <f>IF(C10=63,ROUNDDOWN(E10/AG21,0),"0")</f>
        <v>0</v>
      </c>
      <c r="U21" s="37" t="str">
        <f>IF(C12=63,ROUNDDOWN(E12/AG21,0),"0")</f>
        <v>0</v>
      </c>
      <c r="V21" s="37" t="str">
        <f>IF(C14=63,ROUNDDOWN(E14/AG21,0),"0")</f>
        <v>0</v>
      </c>
      <c r="W21" s="37" t="str">
        <f>IF(C16=63,ROUNDDOWN(E16/AG21,0),"0")</f>
        <v>0</v>
      </c>
      <c r="X21" s="37" t="str">
        <f>IF(C18=63,ROUNDDOWN(E18/AG21,0),"0")</f>
        <v>0</v>
      </c>
      <c r="Y21" s="37" t="str">
        <f>IF(C20=63,ROUNDDOWN(E20/AG21,0),"0")</f>
        <v>0</v>
      </c>
      <c r="Z21" s="37" t="str">
        <f>IF(C22=63,ROUNDDOWN(E22/AG21,0),"0")</f>
        <v>0</v>
      </c>
      <c r="AA21" s="37" t="str">
        <f>IF(C24=63,ROUNDDOWN(E24/AG21,0),"0")</f>
        <v>0</v>
      </c>
      <c r="AB21" s="37" t="str">
        <f>IF(C26=63,ROUNDDOWN(E26/AG21,0),"0")</f>
        <v>0</v>
      </c>
      <c r="AC21" s="61">
        <f t="shared" si="0"/>
        <v>0</v>
      </c>
      <c r="AD21" s="38" t="s">
        <v>20</v>
      </c>
      <c r="AE21" s="40">
        <v>10700</v>
      </c>
      <c r="AF21" s="29">
        <v>256</v>
      </c>
      <c r="AG21" s="29">
        <v>9</v>
      </c>
    </row>
    <row r="22" spans="1:33" ht="27" customHeight="1" thickBot="1" x14ac:dyDescent="0.25">
      <c r="A22" s="20"/>
      <c r="B22" s="24" t="s">
        <v>28</v>
      </c>
      <c r="C22" s="31"/>
      <c r="D22" s="32"/>
      <c r="E22" s="31"/>
      <c r="F22" s="4" t="s">
        <v>17</v>
      </c>
      <c r="H22" s="41" t="s">
        <v>23</v>
      </c>
      <c r="I22" s="42"/>
      <c r="N22" s="45"/>
      <c r="P22" s="29">
        <v>70</v>
      </c>
      <c r="Q22" s="73" t="s">
        <v>36</v>
      </c>
      <c r="R22" s="73"/>
      <c r="S22" s="37" t="str">
        <f>IF(C8=70,ROUNDDOWN(E8/AG22,0),"0")</f>
        <v>0</v>
      </c>
      <c r="T22" s="37" t="str">
        <f>IF(C10=70,ROUNDDOWN(E10/AG22,0),"0")</f>
        <v>0</v>
      </c>
      <c r="U22" s="37" t="str">
        <f>IF(C12=70,ROUNDDOWN(E12/AG22,0),"0")</f>
        <v>0</v>
      </c>
      <c r="V22" s="37" t="str">
        <f>IF(C14=70,ROUNDDOWN(E14/AG22,0),"0")</f>
        <v>0</v>
      </c>
      <c r="W22" s="37" t="str">
        <f>IF(C16=70,ROUNDDOWN(E16/AG22,0),"0")</f>
        <v>0</v>
      </c>
      <c r="X22" s="37" t="str">
        <f>IF(C18=70,ROUNDDOWN(E18/AG22,0),"0")</f>
        <v>0</v>
      </c>
      <c r="Y22" s="37" t="str">
        <f>IF(C20=70,ROUNDDOWN(E20/AG22,0),"0")</f>
        <v>0</v>
      </c>
      <c r="Z22" s="37" t="str">
        <f>IF(C22=70,ROUNDDOWN(E22/AG22,0),"0")</f>
        <v>0</v>
      </c>
      <c r="AA22" s="37" t="str">
        <f>IF(C24=70,ROUNDDOWN(E24/AG22,0),"0")</f>
        <v>0</v>
      </c>
      <c r="AB22" s="37" t="str">
        <f>IF(C26=70,ROUNDDOWN(E26/AG22,0),"0")</f>
        <v>0</v>
      </c>
      <c r="AC22" s="61">
        <f>ROUNDUP((S22+T22+U22+V22+W22+X22+Y22+Z22+AA22+AB22),0)</f>
        <v>0</v>
      </c>
      <c r="AD22" s="38" t="s">
        <v>20</v>
      </c>
      <c r="AE22" s="40">
        <v>10700</v>
      </c>
      <c r="AF22" s="29">
        <v>288</v>
      </c>
      <c r="AG22" s="29">
        <v>8</v>
      </c>
    </row>
    <row r="23" spans="1:33" ht="27" customHeight="1" thickBot="1" x14ac:dyDescent="0.25">
      <c r="A23" s="20"/>
      <c r="B23" s="24"/>
      <c r="C23" s="39"/>
      <c r="D23" s="32"/>
      <c r="E23" s="39"/>
      <c r="H23" s="42"/>
      <c r="I23" s="46"/>
      <c r="N23" s="21"/>
      <c r="P23" s="29">
        <v>75</v>
      </c>
      <c r="Q23" s="73" t="s">
        <v>36</v>
      </c>
      <c r="R23" s="73"/>
      <c r="S23" s="37" t="str">
        <f>IF(C8=75,ROUNDDOWN(E8/AG23,0),"0")</f>
        <v>0</v>
      </c>
      <c r="T23" s="37" t="str">
        <f>IF(C10=75,ROUNDDOWN(E10/AG23,0),"0")</f>
        <v>0</v>
      </c>
      <c r="U23" s="37" t="str">
        <f>IF(C12=75,ROUNDDOWN(E12/AG23,0),"0")</f>
        <v>0</v>
      </c>
      <c r="V23" s="37" t="str">
        <f>IF(C14=75,ROUNDDOWN(E14/AG23,0),"0")</f>
        <v>0</v>
      </c>
      <c r="W23" s="37" t="str">
        <f>IF(C16=75,ROUNDDOWN(E16/AG23,0),"0")</f>
        <v>0</v>
      </c>
      <c r="X23" s="37" t="str">
        <f>IF(C18=75,ROUNDDOWN(E18/AG23,0),"0")</f>
        <v>0</v>
      </c>
      <c r="Y23" s="37" t="str">
        <f>IF(C20=75,ROUNDDOWN(E20/AG23,0),"0")</f>
        <v>0</v>
      </c>
      <c r="Z23" s="37" t="str">
        <f>IF(C22=75,ROUNDDOWN(E22/AG23,0),"0")</f>
        <v>0</v>
      </c>
      <c r="AA23" s="37" t="str">
        <f>IF(C24=75,ROUNDDOWN(E24/AG23,0),"0")</f>
        <v>0</v>
      </c>
      <c r="AB23" s="37" t="str">
        <f>IF(C26=75,ROUNDDOWN(E26/AG23,0),"0")</f>
        <v>0</v>
      </c>
      <c r="AC23" s="61">
        <f>ROUNDUP((S23+T23+U23+V23+W23+X23+Y23+Z23+AA23+AB23),0)</f>
        <v>0</v>
      </c>
      <c r="AD23" s="38" t="s">
        <v>20</v>
      </c>
      <c r="AE23" s="40">
        <v>10700</v>
      </c>
      <c r="AF23" s="29">
        <v>288</v>
      </c>
      <c r="AG23" s="29">
        <v>8</v>
      </c>
    </row>
    <row r="24" spans="1:33" ht="27" customHeight="1" thickBot="1" x14ac:dyDescent="0.25">
      <c r="A24" s="20"/>
      <c r="B24" s="24" t="s">
        <v>29</v>
      </c>
      <c r="C24" s="31"/>
      <c r="D24" s="32"/>
      <c r="E24" s="31"/>
      <c r="F24" s="4" t="s">
        <v>17</v>
      </c>
      <c r="N24" s="21"/>
      <c r="P24" s="29">
        <v>82</v>
      </c>
      <c r="Q24" s="73" t="s">
        <v>37</v>
      </c>
      <c r="R24" s="73"/>
      <c r="S24" s="37" t="str">
        <f>IF(C8=82,ROUNDDOWN(E8/AG24,0),"0")</f>
        <v>0</v>
      </c>
      <c r="T24" s="37" t="str">
        <f>IF(C10=82,ROUNDDOWN(E10/AG24,0),"0")</f>
        <v>0</v>
      </c>
      <c r="U24" s="37" t="str">
        <f>IF(C12=82,ROUNDDOWN(E12/AG24,0),"0")</f>
        <v>0</v>
      </c>
      <c r="V24" s="37" t="str">
        <f>IF(C14=82,ROUNDDOWN(E14/AG24,0),"0")</f>
        <v>0</v>
      </c>
      <c r="W24" s="37" t="str">
        <f>IF(C16=82,ROUNDDOWN(E16/AG24,0),"0")</f>
        <v>0</v>
      </c>
      <c r="X24" s="37" t="str">
        <f>IF(C18=82,ROUNDDOWN(E18/AG24,0),"0")</f>
        <v>0</v>
      </c>
      <c r="Y24" s="37" t="str">
        <f>IF(C20=82,ROUNDDOWN(E20/AG24,0),"0")</f>
        <v>0</v>
      </c>
      <c r="Z24" s="37" t="str">
        <f>IF(C22=82,ROUNDDOWN(E22/AG24,0),"0")</f>
        <v>0</v>
      </c>
      <c r="AA24" s="37" t="str">
        <f>IF(C24=82,ROUNDDOWN(E24/AG24,0),"0")</f>
        <v>0</v>
      </c>
      <c r="AB24" s="37" t="str">
        <f>IF(C26=82,ROUNDDOWN(E26/AG24,0),"0")</f>
        <v>0</v>
      </c>
      <c r="AC24" s="61">
        <f>ROUNDUP((S24+T24+U24+V24+W24+X24+Y24+Z24+AA24+AB24),0)</f>
        <v>0</v>
      </c>
      <c r="AD24" s="38" t="s">
        <v>20</v>
      </c>
      <c r="AE24" s="40">
        <v>12300</v>
      </c>
      <c r="AF24" s="29">
        <v>328</v>
      </c>
      <c r="AG24" s="29">
        <v>7</v>
      </c>
    </row>
    <row r="25" spans="1:33" ht="27" customHeight="1" thickBot="1" x14ac:dyDescent="0.25">
      <c r="A25" s="20"/>
      <c r="B25" s="24"/>
      <c r="C25" s="39"/>
      <c r="D25" s="32"/>
      <c r="E25" s="39"/>
      <c r="H25" s="47"/>
      <c r="I25" s="47"/>
      <c r="N25" s="21"/>
      <c r="P25" s="29">
        <v>92</v>
      </c>
      <c r="Q25" s="73" t="s">
        <v>37</v>
      </c>
      <c r="R25" s="73"/>
      <c r="S25" s="37" t="str">
        <f>IF(C8=92,ROUNDDOWN(E8/AG25,0),"0")</f>
        <v>0</v>
      </c>
      <c r="T25" s="37" t="str">
        <f>IF(C10=92,ROUNDDOWN(E10/AG25,0),"0")</f>
        <v>0</v>
      </c>
      <c r="U25" s="37" t="str">
        <f>IF(C12=92,ROUNDDOWN(E12/AG25,0),"0")</f>
        <v>0</v>
      </c>
      <c r="V25" s="37" t="str">
        <f>IF(C14=92,ROUNDDOWN(E14/AG25,0),"0")</f>
        <v>0</v>
      </c>
      <c r="W25" s="37" t="str">
        <f>IF(C16=92,ROUNDDOWN(E16/AG25,0),"0")</f>
        <v>0</v>
      </c>
      <c r="X25" s="37" t="str">
        <f>IF(C18=92,ROUNDDOWN(E18/AG25,0),"0")</f>
        <v>0</v>
      </c>
      <c r="Y25" s="37" t="str">
        <f>IF(C20=92,ROUNDDOWN(E20/AG25,0),"0")</f>
        <v>0</v>
      </c>
      <c r="Z25" s="37" t="str">
        <f>IF(C22=92,ROUNDDOWN(E22/AG25,0),"0")</f>
        <v>0</v>
      </c>
      <c r="AA25" s="37" t="str">
        <f>IF(C24=92,ROUNDDOWN(E24/AG25,0),"0")</f>
        <v>0</v>
      </c>
      <c r="AB25" s="37" t="str">
        <f>IF(C26=92,ROUNDDOWN(E26/AG25,0),"0")</f>
        <v>0</v>
      </c>
      <c r="AC25" s="61">
        <f>ROUNDUP((S25+T25+U25+V25+W25+X25+Y25+Z25+AA25+AB25),0)</f>
        <v>0</v>
      </c>
      <c r="AD25" s="38" t="s">
        <v>20</v>
      </c>
      <c r="AE25" s="40">
        <v>12300</v>
      </c>
      <c r="AF25" s="29">
        <v>383</v>
      </c>
      <c r="AG25" s="29">
        <v>6</v>
      </c>
    </row>
    <row r="26" spans="1:33" ht="27" customHeight="1" thickBot="1" x14ac:dyDescent="0.25">
      <c r="A26" s="20"/>
      <c r="B26" s="24" t="s">
        <v>30</v>
      </c>
      <c r="C26" s="31"/>
      <c r="D26" s="32"/>
      <c r="E26" s="31"/>
      <c r="F26" s="4" t="s">
        <v>17</v>
      </c>
      <c r="N26" s="21"/>
      <c r="P26" s="29">
        <v>104</v>
      </c>
      <c r="Q26" s="73" t="s">
        <v>37</v>
      </c>
      <c r="R26" s="73"/>
      <c r="S26" s="37" t="str">
        <f>IF(C8=104,ROUNDDOWN(E8/AG26,0),"0")</f>
        <v>0</v>
      </c>
      <c r="T26" s="37" t="str">
        <f>IF(C10=104,ROUNDDOWN(E10/AG26,0),"0")</f>
        <v>0</v>
      </c>
      <c r="U26" s="37" t="str">
        <f>IF(C12=104,ROUNDDOWN(E12/AG26,0),"0")</f>
        <v>0</v>
      </c>
      <c r="V26" s="37" t="str">
        <f>IF(C14=104,ROUNDDOWN(E14/AG26,0),"0")</f>
        <v>0</v>
      </c>
      <c r="W26" s="37" t="str">
        <f>IF(C16=104,ROUNDDOWN(E16/AG26,0),"0")</f>
        <v>0</v>
      </c>
      <c r="X26" s="37" t="str">
        <f>IF(C18=104,ROUNDDOWN(E18/AG26,0),"0")</f>
        <v>0</v>
      </c>
      <c r="Y26" s="37" t="str">
        <f>IF(C20=104,ROUNDDOWN(E20/AG26,0),"0")</f>
        <v>0</v>
      </c>
      <c r="Z26" s="37" t="str">
        <f>IF(C22=104,ROUNDDOWN(E22/AG26,0),"0")</f>
        <v>0</v>
      </c>
      <c r="AA26" s="37" t="str">
        <f>IF(C24=104,ROUNDDOWN(E24/AG26,0),"0")</f>
        <v>0</v>
      </c>
      <c r="AB26" s="37" t="str">
        <f>IF(C26=104,ROUNDDOWN(E26/AG26,0),"0")</f>
        <v>0</v>
      </c>
      <c r="AC26" s="61">
        <f>ROUNDUP((S26+T26+U26+V26+W26+X26+Y26+Z26+AA26+AB26),0)</f>
        <v>0</v>
      </c>
      <c r="AD26" s="38" t="s">
        <v>20</v>
      </c>
      <c r="AE26" s="40">
        <v>12300</v>
      </c>
      <c r="AF26" s="29">
        <v>460</v>
      </c>
      <c r="AG26" s="29">
        <v>5</v>
      </c>
    </row>
    <row r="27" spans="1:33" ht="27" customHeight="1" thickBot="1" x14ac:dyDescent="0.2">
      <c r="A27" s="48"/>
      <c r="B27" s="49"/>
      <c r="C27" s="49"/>
      <c r="D27" s="49"/>
      <c r="E27" s="49"/>
      <c r="F27" s="49"/>
      <c r="G27" s="49"/>
      <c r="H27" s="49"/>
      <c r="I27" s="49"/>
      <c r="J27" s="49"/>
      <c r="K27" s="49"/>
      <c r="L27" s="49"/>
      <c r="M27" s="49"/>
      <c r="N27" s="50"/>
      <c r="P27" s="4" t="s">
        <v>42</v>
      </c>
      <c r="Q27" s="24"/>
    </row>
    <row r="28" spans="1:33" x14ac:dyDescent="0.15">
      <c r="P28" s="29"/>
      <c r="Q28" s="74" t="s">
        <v>31</v>
      </c>
      <c r="R28" s="75"/>
      <c r="S28" s="28" t="s">
        <v>4</v>
      </c>
      <c r="T28" s="28" t="s">
        <v>5</v>
      </c>
      <c r="U28" s="28" t="s">
        <v>6</v>
      </c>
      <c r="V28" s="28" t="s">
        <v>7</v>
      </c>
      <c r="W28" s="28" t="s">
        <v>8</v>
      </c>
      <c r="X28" s="28" t="s">
        <v>9</v>
      </c>
      <c r="Y28" s="28" t="s">
        <v>10</v>
      </c>
      <c r="Z28" s="28" t="s">
        <v>11</v>
      </c>
      <c r="AA28" s="28" t="s">
        <v>12</v>
      </c>
      <c r="AB28" s="28" t="s">
        <v>13</v>
      </c>
      <c r="AC28" s="76" t="s">
        <v>14</v>
      </c>
      <c r="AD28" s="76"/>
      <c r="AE28" s="29" t="s">
        <v>15</v>
      </c>
      <c r="AF28" s="29" t="s">
        <v>39</v>
      </c>
      <c r="AG28" s="29" t="s">
        <v>40</v>
      </c>
    </row>
    <row r="29" spans="1:33" x14ac:dyDescent="0.15">
      <c r="P29" s="29">
        <v>16</v>
      </c>
      <c r="Q29" s="73" t="s">
        <v>35</v>
      </c>
      <c r="R29" s="73"/>
      <c r="S29" s="56" t="str">
        <f>IF(C8=16,ROUNDUP((E8-(S10*AG10))*AF29,0),"0")</f>
        <v>0</v>
      </c>
      <c r="T29" s="56" t="str">
        <f>IF(C10=16,ROUNDUP((E10-(T10*AG10))*AF29,0),"0")</f>
        <v>0</v>
      </c>
      <c r="U29" s="56" t="str">
        <f>IF(C12=16,ROUNDUP((E12-(U10*AG10))*AF29,0),"0")</f>
        <v>0</v>
      </c>
      <c r="V29" s="56" t="str">
        <f>IF(C14=16,ROUNDUP((E14-(V10*AG10))*AF29,0),"0")</f>
        <v>0</v>
      </c>
      <c r="W29" s="56" t="str">
        <f>IF(C16=16,ROUNDUP((E16-(W10*AG10))*AF29,0),"0")</f>
        <v>0</v>
      </c>
      <c r="X29" s="56" t="str">
        <f>IF(C18=16,ROUNDUP((E18-(X10*AG10))*AF29,0),"0")</f>
        <v>0</v>
      </c>
      <c r="Y29" s="56" t="str">
        <f>IF(C20=16,ROUNDUP((E20-(Y10*AG10))*AF29,0),"0")</f>
        <v>0</v>
      </c>
      <c r="Z29" s="56" t="str">
        <f>IF(C22=16,ROUNDUP((E22-(Z10*AG10))*AF29,0),"0")</f>
        <v>0</v>
      </c>
      <c r="AA29" s="56" t="str">
        <f>IF(C24=16,ROUNDUP((E24-(AA10*AG10))*AF29,0),"0")</f>
        <v>0</v>
      </c>
      <c r="AB29" s="56" t="str">
        <f>IF(C26=16,ROUNDUP((E26-(AB10*AG10))*AF29,0),"0")</f>
        <v>0</v>
      </c>
      <c r="AC29" s="60">
        <f t="shared" ref="AC29:AC45" si="1">ROUNDUP((S29+T29+U29+V29+W29+X29+Y29+Z29+AA29+AB29),0)</f>
        <v>0</v>
      </c>
      <c r="AD29" s="57" t="s">
        <v>43</v>
      </c>
      <c r="AE29" s="58">
        <v>6600</v>
      </c>
      <c r="AF29" s="29">
        <v>100</v>
      </c>
      <c r="AG29" s="29">
        <v>25</v>
      </c>
    </row>
    <row r="30" spans="1:33" x14ac:dyDescent="0.15">
      <c r="P30" s="29">
        <v>19</v>
      </c>
      <c r="Q30" s="73" t="s">
        <v>35</v>
      </c>
      <c r="R30" s="73"/>
      <c r="S30" s="37" t="str">
        <f>IF(C8=19,ROUNDUP((E8-(S11*AG11))*AF30,0),"0")</f>
        <v>0</v>
      </c>
      <c r="T30" s="37" t="str">
        <f>IF(C10=19,ROUNDUP((E10-(T11*AG11))*AF30,0),"0")</f>
        <v>0</v>
      </c>
      <c r="U30" s="37" t="str">
        <f>IF(C12=19,ROUNDUP((E12-(U11*AG11))*AF30,0),"0")</f>
        <v>0</v>
      </c>
      <c r="V30" s="37" t="str">
        <f>IF(C14=19,ROUNDUP((E14-(V11*AG11))*AF30,0),"0")</f>
        <v>0</v>
      </c>
      <c r="W30" s="37" t="str">
        <f>IF(C16=19,ROUNDUP((E16-(W11*AG11))*AF30,0),"0")</f>
        <v>0</v>
      </c>
      <c r="X30" s="37" t="str">
        <f>IF(C18=19,ROUNDUP((E18-(X11*AG11))*AF30,0),"0")</f>
        <v>0</v>
      </c>
      <c r="Y30" s="37" t="str">
        <f>IF(C20=19,ROUNDUP((E20-(Y11*AG11))*AF30,0),"0")</f>
        <v>0</v>
      </c>
      <c r="Z30" s="37" t="str">
        <f>IF(C22=19,ROUNDUP((E22-(Z11*AG11))*AF30,0),"0")</f>
        <v>0</v>
      </c>
      <c r="AA30" s="37" t="str">
        <f>IF(C24=19,ROUNDUP((E24-(AA11*AG11))*AF30,0),"0")</f>
        <v>0</v>
      </c>
      <c r="AB30" s="37" t="str">
        <f>IF(C26=19,ROUNDUP((E26-(AB11*AG11))*AF30,0),"0")</f>
        <v>0</v>
      </c>
      <c r="AC30" s="61">
        <f t="shared" si="1"/>
        <v>0</v>
      </c>
      <c r="AD30" s="57" t="s">
        <v>43</v>
      </c>
      <c r="AE30" s="40">
        <v>6600</v>
      </c>
      <c r="AF30" s="29">
        <v>88</v>
      </c>
      <c r="AG30" s="29">
        <v>28</v>
      </c>
    </row>
    <row r="31" spans="1:33" x14ac:dyDescent="0.15">
      <c r="P31" s="29">
        <v>22</v>
      </c>
      <c r="Q31" s="73" t="s">
        <v>35</v>
      </c>
      <c r="R31" s="73"/>
      <c r="S31" s="37" t="str">
        <f>IF(C8=22,ROUNDUP((E8-(S12*AG12))*AF31,0),"0")</f>
        <v>0</v>
      </c>
      <c r="T31" s="37" t="str">
        <f>IF(C10=22,ROUNDUP((E10-(T12*AG12))*AF31,0),"0")</f>
        <v>0</v>
      </c>
      <c r="U31" s="37" t="str">
        <f>IF(C12=22,ROUNDUP((E12-(U12*AG12))*AF31,0),"0")</f>
        <v>0</v>
      </c>
      <c r="V31" s="37" t="str">
        <f>IF(C14=22,ROUNDUP((E14-(V12*AG12))*AF31,0),"0")</f>
        <v>0</v>
      </c>
      <c r="W31" s="37" t="str">
        <f>IF(C16=22,ROUNDUP((E16-(W12*AG12))*AF31,0),"0")</f>
        <v>0</v>
      </c>
      <c r="X31" s="37" t="str">
        <f>IF(C18=22,ROUNDUP((E18-(X12*AG12))*AF31,0),"0")</f>
        <v>0</v>
      </c>
      <c r="Y31" s="37" t="str">
        <f>IF(C20=22,ROUNDUP((E20-(Y12*AG12))*AF31,0),"0")</f>
        <v>0</v>
      </c>
      <c r="Z31" s="37" t="str">
        <f>IF(C22=22,ROUNDUP((E22-(Z12*AG12))*AF31,0),"0")</f>
        <v>0</v>
      </c>
      <c r="AA31" s="37" t="str">
        <f>IF(C24=22,ROUNDUP((E24-(AA12*AG12))*AF31,0),"0")</f>
        <v>0</v>
      </c>
      <c r="AB31" s="37" t="str">
        <f>IF(C26=22,ROUNDUP((E26-(AB12*AG12))*AF31,0),"0")</f>
        <v>0</v>
      </c>
      <c r="AC31" s="61">
        <f t="shared" si="1"/>
        <v>0</v>
      </c>
      <c r="AD31" s="57" t="s">
        <v>43</v>
      </c>
      <c r="AE31" s="40">
        <v>6600</v>
      </c>
      <c r="AF31" s="29">
        <v>113</v>
      </c>
      <c r="AG31" s="29">
        <v>22</v>
      </c>
    </row>
    <row r="32" spans="1:33" x14ac:dyDescent="0.15">
      <c r="P32" s="29">
        <v>25</v>
      </c>
      <c r="Q32" s="73" t="s">
        <v>35</v>
      </c>
      <c r="R32" s="73"/>
      <c r="S32" s="37" t="str">
        <f>IF(C8=25,ROUNDUP((E8-(S13*AG13))*AF32,0),"0")</f>
        <v>0</v>
      </c>
      <c r="T32" s="37" t="str">
        <f>IF(C10=25,ROUNDUP((E10-(T13*AG13))*AF32,0),"0")</f>
        <v>0</v>
      </c>
      <c r="U32" s="37" t="str">
        <f>IF(C12=25,ROUNDUP((E12-(U13*AG13))*AG32,0),"0")</f>
        <v>0</v>
      </c>
      <c r="V32" s="37" t="str">
        <f>IF(C14=25,ROUNDUP((E14-(V13*AG13))*AF32,0),"0")</f>
        <v>0</v>
      </c>
      <c r="W32" s="37" t="str">
        <f>IF(C16=25,ROUNDUP((E16-(W13*AG13))*AF32,0),"0")</f>
        <v>0</v>
      </c>
      <c r="X32" s="37" t="str">
        <f>IF(C18=25,ROUNDUP((E18-(X13*AG13))*AF32,0),"0")</f>
        <v>0</v>
      </c>
      <c r="Y32" s="37" t="str">
        <f>IF(C20=25,ROUNDUP((E20-(Y13*AG13))*AF32,0),"0")</f>
        <v>0</v>
      </c>
      <c r="Z32" s="37" t="str">
        <f>IF(C22=25,ROUNDUP((E22-(Z13*AG13))*AF32,0),"0")</f>
        <v>0</v>
      </c>
      <c r="AA32" s="37" t="str">
        <f>IF(C24=25,ROUNDUP((E24-(AA13*AG13))*AF32,0),"0")</f>
        <v>0</v>
      </c>
      <c r="AB32" s="37" t="str">
        <f>IF(C26=25,ROUNDUP((E26-(AB13*AG13))*AF32,0),"0")</f>
        <v>0</v>
      </c>
      <c r="AC32" s="61">
        <f t="shared" si="1"/>
        <v>0</v>
      </c>
      <c r="AD32" s="57" t="s">
        <v>43</v>
      </c>
      <c r="AE32" s="40">
        <v>6600</v>
      </c>
      <c r="AF32" s="29">
        <v>119</v>
      </c>
      <c r="AG32" s="29">
        <v>21</v>
      </c>
    </row>
    <row r="33" spans="16:34" ht="13.5" customHeight="1" x14ac:dyDescent="0.15">
      <c r="P33" s="29">
        <v>28</v>
      </c>
      <c r="Q33" s="73" t="s">
        <v>35</v>
      </c>
      <c r="R33" s="73"/>
      <c r="S33" s="37" t="str">
        <f>IF(C8=28,ROUNDUP((E8-(S14*AG14))*AF33,0),"0")</f>
        <v>0</v>
      </c>
      <c r="T33" s="37" t="str">
        <f>IF(C10=28,ROUNDUP((E10-(T14*AG14))*AF33,0),"0")</f>
        <v>0</v>
      </c>
      <c r="U33" s="37" t="str">
        <f>IF(C12=28,ROUNDUP((E12-(U14*AG14))*AF33,0),"0")</f>
        <v>0</v>
      </c>
      <c r="V33" s="37" t="str">
        <f>IF(C14=28,ROUNDUP((E14-(V14*AG14))*AF33,0),"0")</f>
        <v>0</v>
      </c>
      <c r="W33" s="37" t="str">
        <f>IF(C16=28,ROUNDUP((E16-(W14*AG14))*AF33,0),"0")</f>
        <v>0</v>
      </c>
      <c r="X33" s="37" t="str">
        <f>IF(C18=28,ROUNDUP((E18-(X14*AG14))*AF33,0),"0")</f>
        <v>0</v>
      </c>
      <c r="Y33" s="37" t="str">
        <f>IF(C20=28,ROUNDUP((E20-(Y14*AG14))*AF33,0),"0")</f>
        <v>0</v>
      </c>
      <c r="Z33" s="37" t="str">
        <f>IF(C22=28,ROUNDUP((E22-(Z14*AG14))*AF33,0),"0")</f>
        <v>0</v>
      </c>
      <c r="AA33" s="37" t="str">
        <f>IF(C24=28,ROUNDUP((E24-(AA14*AG14))*AF33,0),"0")</f>
        <v>0</v>
      </c>
      <c r="AB33" s="37" t="str">
        <f>IF(C26=28,ROUNDUP((E26-(AB14*AG14))*AF33,0),"0")</f>
        <v>0</v>
      </c>
      <c r="AC33" s="61">
        <f t="shared" si="1"/>
        <v>0</v>
      </c>
      <c r="AD33" s="57" t="s">
        <v>43</v>
      </c>
      <c r="AE33" s="40">
        <v>6600</v>
      </c>
      <c r="AF33" s="29">
        <v>138</v>
      </c>
      <c r="AG33" s="29">
        <v>18</v>
      </c>
    </row>
    <row r="34" spans="16:34" ht="13.5" customHeight="1" x14ac:dyDescent="0.15">
      <c r="P34" s="29">
        <v>31</v>
      </c>
      <c r="Q34" s="73" t="s">
        <v>35</v>
      </c>
      <c r="R34" s="73"/>
      <c r="S34" s="37" t="str">
        <f>IF(C8=31,ROUNDUP((E8-(S15*AG15))*AF34,0),"0")</f>
        <v>0</v>
      </c>
      <c r="T34" s="37" t="str">
        <f>IF(C10=31,ROUNDUP((E10-(T15*AG15))*AF34,0),"0")</f>
        <v>0</v>
      </c>
      <c r="U34" s="37" t="str">
        <f>IF(C12=31,ROUNDUP((E12-(U15*AG15))*AF34,0),"0")</f>
        <v>0</v>
      </c>
      <c r="V34" s="37" t="str">
        <f>IF(C14=31,ROUNDUP((E14-(V15*AG15))*AF34,0),"0")</f>
        <v>0</v>
      </c>
      <c r="W34" s="37" t="str">
        <f>IF(C16=31,ROUNDUP((E16-(W15*AG15))*AF34,0),"0")</f>
        <v>0</v>
      </c>
      <c r="X34" s="37" t="str">
        <f>IF(C18=31,ROUNDUP((E18-(X15*AG15))*AF34,0),"0")</f>
        <v>0</v>
      </c>
      <c r="Y34" s="37" t="str">
        <f>IF(C20=31,ROUNDUP((E20-(Y15*AG15))*AF34,0),"0")</f>
        <v>0</v>
      </c>
      <c r="Z34" s="37" t="str">
        <f>IF(C22=31,ROUNDUP((E22-(Z15*AG15))*AF34,0),"0")</f>
        <v>0</v>
      </c>
      <c r="AA34" s="37" t="str">
        <f>IF(C24=31,ROUNDUP((E24-(AA15*AG15))*AF34,0),"0")</f>
        <v>0</v>
      </c>
      <c r="AB34" s="37" t="str">
        <f>IF(C26=31,ROUNDUP((E26-(AB15*AG15))*AF34,0),"0")</f>
        <v>0</v>
      </c>
      <c r="AC34" s="61">
        <f t="shared" si="1"/>
        <v>0</v>
      </c>
      <c r="AD34" s="57" t="s">
        <v>43</v>
      </c>
      <c r="AE34" s="40">
        <v>6600</v>
      </c>
      <c r="AF34" s="29">
        <v>135</v>
      </c>
      <c r="AG34" s="29">
        <v>18</v>
      </c>
    </row>
    <row r="35" spans="16:34" ht="13.5" customHeight="1" x14ac:dyDescent="0.15">
      <c r="P35" s="29">
        <v>36</v>
      </c>
      <c r="Q35" s="73" t="s">
        <v>35</v>
      </c>
      <c r="R35" s="73"/>
      <c r="S35" s="37" t="str">
        <f>IF(C8=36,ROUNDUP((E8-(S16*AG16))*AF35,0),"0")</f>
        <v>0</v>
      </c>
      <c r="T35" s="37" t="str">
        <f>IF(C10=36,ROUNDUP((E10-(T16*AG16))*AF35,0),"0")</f>
        <v>0</v>
      </c>
      <c r="U35" s="37" t="str">
        <f>IF(C12=36,ROUNDUP((E12-(U16*AG16))*AF35,0),"0")</f>
        <v>0</v>
      </c>
      <c r="V35" s="37" t="str">
        <f>IF(C14=36,ROUNDUP((E14-(V16*AG16))*AF35,0),"0")</f>
        <v>0</v>
      </c>
      <c r="W35" s="37" t="str">
        <f>IF(C16=36,ROUNDUP((E16-(W16*AG16))*AF35,0),"0")</f>
        <v>0</v>
      </c>
      <c r="X35" s="37" t="str">
        <f>IF(C18=36,ROUNDUP((E18-(X16*AG16))*AF35,0),"0")</f>
        <v>0</v>
      </c>
      <c r="Y35" s="37" t="str">
        <f>IF(C20=36,ROUNDUP((E20-(Y16*AG16))*AF35,0),"0")</f>
        <v>0</v>
      </c>
      <c r="Z35" s="37" t="str">
        <f>IF(C22=36,ROUNDUP((E22-(Z16*AG16))*AF35,0),"0")</f>
        <v>0</v>
      </c>
      <c r="AA35" s="37" t="str">
        <f>IF(C24=36,ROUNDUP((E24-(AA16*AG16))*AF35,0),"0")</f>
        <v>0</v>
      </c>
      <c r="AB35" s="37" t="str">
        <f>IF(C26=36,ROUNDUP((E26-(AB16*AG16))*AF35,0),"0")</f>
        <v>0</v>
      </c>
      <c r="AC35" s="61">
        <f t="shared" si="1"/>
        <v>0</v>
      </c>
      <c r="AD35" s="57" t="s">
        <v>43</v>
      </c>
      <c r="AE35" s="40">
        <v>6600</v>
      </c>
      <c r="AF35" s="29">
        <v>177</v>
      </c>
      <c r="AG35" s="29">
        <v>14</v>
      </c>
      <c r="AH35" s="29" t="s">
        <v>44</v>
      </c>
    </row>
    <row r="36" spans="16:34" ht="13.5" customHeight="1" x14ac:dyDescent="0.15">
      <c r="P36" s="29">
        <v>39</v>
      </c>
      <c r="Q36" s="73" t="s">
        <v>35</v>
      </c>
      <c r="R36" s="73"/>
      <c r="S36" s="37" t="str">
        <f>IF(C8=39,ROUNDUP((E8-(S17*AG17))*AF36,0),"0")</f>
        <v>0</v>
      </c>
      <c r="T36" s="37" t="str">
        <f>IF(C10=39,ROUNDUP((E10-(T17*AG17))*AF36,0),"0")</f>
        <v>0</v>
      </c>
      <c r="U36" s="37" t="str">
        <f>IF(C12=39,ROUNDUP((E12-(U17*AG17))*AF36,0),"0")</f>
        <v>0</v>
      </c>
      <c r="V36" s="37" t="str">
        <f>IF(C14=39,ROUNDUP((E14-(V17*AG17))*AF36,0),"0")</f>
        <v>0</v>
      </c>
      <c r="W36" s="37" t="str">
        <f>IF(C16=39,ROUNDUP((E16-(W17*AG17))*AF36,0),"0")</f>
        <v>0</v>
      </c>
      <c r="X36" s="37" t="str">
        <f>IF(C18=39,ROUNDUP((E18-(X17*AG17))*AF36,0),"0")</f>
        <v>0</v>
      </c>
      <c r="Y36" s="37" t="str">
        <f>IF(C20=39,ROUNDUP((E20-(Y17*AG17))*AF36,0),"0")</f>
        <v>0</v>
      </c>
      <c r="Z36" s="37" t="str">
        <f>IF(C22=39,ROUNDUP((E22-(Z17*AG17))*AF36,0),"0")</f>
        <v>0</v>
      </c>
      <c r="AA36" s="37" t="str">
        <f>IF(C24=39,ROUNDUP((E24-(AA17*AG17))*AF36,0),"0")</f>
        <v>0</v>
      </c>
      <c r="AB36" s="37" t="str">
        <f>IF(C26=39,ROUNDUP((E26-(AB17*AG17))*AF36,0),"0")</f>
        <v>0</v>
      </c>
      <c r="AC36" s="61">
        <f t="shared" si="1"/>
        <v>0</v>
      </c>
      <c r="AD36" s="57" t="s">
        <v>43</v>
      </c>
      <c r="AE36" s="40">
        <v>6600</v>
      </c>
      <c r="AF36" s="29">
        <v>164</v>
      </c>
      <c r="AG36" s="29">
        <v>15</v>
      </c>
      <c r="AH36" s="29">
        <f>ROUNDUP((AC29+AC30+AC31+AC32+AC33+AC34+AC35+AC36)/2500,0)</f>
        <v>0</v>
      </c>
    </row>
    <row r="37" spans="16:34" ht="13.5" customHeight="1" x14ac:dyDescent="0.15">
      <c r="P37" s="29">
        <v>42</v>
      </c>
      <c r="Q37" s="73" t="s">
        <v>36</v>
      </c>
      <c r="R37" s="73"/>
      <c r="S37" s="37" t="str">
        <f>IF(C8=42,ROUNDUP((E8-(S18*AG18))*AF37,0),"0")</f>
        <v>0</v>
      </c>
      <c r="T37" s="37" t="str">
        <f>IF(C10=42,ROUNDUP((E10-(T18*AG18))*AF37,0),"0")</f>
        <v>0</v>
      </c>
      <c r="U37" s="37" t="str">
        <f>IF(C12=42,ROUNDUP((E12-(U18*AG18))*AF37,0),"0")</f>
        <v>0</v>
      </c>
      <c r="V37" s="37" t="str">
        <f>IF(C14=42,ROUNDUP((E14-(V18*AG18))*AF37,0),"0")</f>
        <v>0</v>
      </c>
      <c r="W37" s="37" t="str">
        <f>IF(C16=42,ROUNDUP((E16-(W18*AG18))*AF37,0),"0")</f>
        <v>0</v>
      </c>
      <c r="X37" s="37" t="str">
        <f>IF(C18=42,ROUNDUP((E18-(X18*AG18))*AF37,0),"0")</f>
        <v>0</v>
      </c>
      <c r="Y37" s="37" t="str">
        <f>IF(C20=42,ROUNDUP((E20-(Y18*AG18))*AF37,0),"0")</f>
        <v>0</v>
      </c>
      <c r="Z37" s="37" t="str">
        <f>IF(C22=42,ROUNDUP((E22-(Z18*AG18))*AF37,0),"0")</f>
        <v>0</v>
      </c>
      <c r="AA37" s="37" t="str">
        <f>IF(C24=42,ROUNDUP((E24-(AA18*AG18))*AF37,0),"0")</f>
        <v>0</v>
      </c>
      <c r="AB37" s="37" t="str">
        <f>IF(C26=42,ROUNDUP((E26-(AB18*AG18))*AF37,0),"0")</f>
        <v>0</v>
      </c>
      <c r="AC37" s="61">
        <f t="shared" si="1"/>
        <v>0</v>
      </c>
      <c r="AD37" s="57" t="s">
        <v>43</v>
      </c>
      <c r="AE37" s="40">
        <v>10700</v>
      </c>
      <c r="AF37" s="29">
        <v>192</v>
      </c>
      <c r="AG37" s="29">
        <v>12</v>
      </c>
      <c r="AH37" s="24"/>
    </row>
    <row r="38" spans="16:34" ht="13.5" customHeight="1" x14ac:dyDescent="0.15">
      <c r="P38" s="29">
        <v>51</v>
      </c>
      <c r="Q38" s="73" t="s">
        <v>36</v>
      </c>
      <c r="R38" s="73"/>
      <c r="S38" s="37" t="str">
        <f>IF(C8=51,ROUNDUP((E8-(S19*AG19))*AF38,0),"0")</f>
        <v>0</v>
      </c>
      <c r="T38" s="37" t="str">
        <f>IF(C10=51,ROUNDUP((E10-(T19*AG19))*AF38,0),"0")</f>
        <v>0</v>
      </c>
      <c r="U38" s="37" t="str">
        <f>IF(C12=51,ROUNDUP((E12-(U19*AG19))*AF38,0),"0")</f>
        <v>0</v>
      </c>
      <c r="V38" s="37" t="str">
        <f>IF(C14=51,ROUNDUP((E14-(V19*AG19))*AF38,0),"0")</f>
        <v>0</v>
      </c>
      <c r="W38" s="37" t="str">
        <f>IF(C16=51,ROUNDUP((E16-(W19*AG19))*AF38,0),"0")</f>
        <v>0</v>
      </c>
      <c r="X38" s="37" t="str">
        <f>IF(C18=51,ROUNDUP((E18-(X19*AG19))*AF38,0),"0")</f>
        <v>0</v>
      </c>
      <c r="Y38" s="37" t="str">
        <f>IF(C20=51,ROUNDUP((E20-(Y19*AG19))*AF38,0),"0")</f>
        <v>0</v>
      </c>
      <c r="Z38" s="37" t="str">
        <f>IF(C22=51,ROUNDUP((E22-(Z19*AG19))*AF38,0),"0")</f>
        <v>0</v>
      </c>
      <c r="AA38" s="37" t="str">
        <f>IF(C24=51,ROUNDUP((E24-(AA19*AG19))*AF38,0),"0")</f>
        <v>0</v>
      </c>
      <c r="AB38" s="37" t="str">
        <f>IF(C26=51,ROUNDUP((E26-(AB19*AG19))*AF38,0),"0")</f>
        <v>0</v>
      </c>
      <c r="AC38" s="61">
        <f t="shared" si="1"/>
        <v>0</v>
      </c>
      <c r="AD38" s="57" t="s">
        <v>43</v>
      </c>
      <c r="AE38" s="40">
        <v>10700</v>
      </c>
      <c r="AF38" s="29">
        <v>209</v>
      </c>
      <c r="AG38" s="29">
        <v>11</v>
      </c>
      <c r="AH38" s="24"/>
    </row>
    <row r="39" spans="16:34" ht="13.5" customHeight="1" x14ac:dyDescent="0.15">
      <c r="P39" s="29">
        <v>54</v>
      </c>
      <c r="Q39" s="73" t="s">
        <v>36</v>
      </c>
      <c r="R39" s="73"/>
      <c r="S39" s="37" t="str">
        <f>IF(C8=54,ROUNDUP((E8-(S20*AG20))*AF39,0),"0")</f>
        <v>0</v>
      </c>
      <c r="T39" s="37" t="str">
        <f>IF(C10=54,ROUNDUP((E10-(T20*AG20))*AF39,0),"0")</f>
        <v>0</v>
      </c>
      <c r="U39" s="37" t="str">
        <f>IF(C12=54,ROUNDUP((E12-(U20*AG20))*AF39,0),"0")</f>
        <v>0</v>
      </c>
      <c r="V39" s="37" t="str">
        <f>IF(C14=54,ROUNDUP((E14-(V20*AG20))*AF39,0),"0")</f>
        <v>0</v>
      </c>
      <c r="W39" s="37" t="str">
        <f>IF(C16=54,ROUNDUP((E16-(W20*AG20))*AF39,0),"0")</f>
        <v>0</v>
      </c>
      <c r="X39" s="37" t="str">
        <f>IF(C18=54,ROUNDUP((E18-(X20*AG20))*AF39,0),"0")</f>
        <v>0</v>
      </c>
      <c r="Y39" s="37" t="str">
        <f>IF(C20=54,ROUNDUP((E20-(Y20*AG20))*AF39,0),"0")</f>
        <v>0</v>
      </c>
      <c r="Z39" s="37" t="str">
        <f>IF(C22=54,ROUNDUP((E22-(Z20*AG20))*AF39,0),"0")</f>
        <v>0</v>
      </c>
      <c r="AA39" s="37" t="str">
        <f>IF(C24=54,ROUNDUP((E24-(AA20*AG20))*AF39,0),"0")</f>
        <v>0</v>
      </c>
      <c r="AB39" s="37" t="str">
        <f>IF(C26=54,ROUNDUP((E26-(AB20*AG20))*AF39,0),"0")</f>
        <v>0</v>
      </c>
      <c r="AC39" s="61">
        <f t="shared" si="1"/>
        <v>0</v>
      </c>
      <c r="AD39" s="57" t="s">
        <v>43</v>
      </c>
      <c r="AE39" s="40">
        <v>10700</v>
      </c>
      <c r="AF39" s="29">
        <v>230</v>
      </c>
      <c r="AG39" s="29">
        <v>10</v>
      </c>
      <c r="AH39" s="24"/>
    </row>
    <row r="40" spans="16:34" ht="13.5" customHeight="1" x14ac:dyDescent="0.15">
      <c r="P40" s="29">
        <v>63</v>
      </c>
      <c r="Q40" s="73" t="s">
        <v>36</v>
      </c>
      <c r="R40" s="73"/>
      <c r="S40" s="37" t="str">
        <f>IF(C8=63,ROUNDUP((E8-(S21*AG21))*AF40,0),"0")</f>
        <v>0</v>
      </c>
      <c r="T40" s="37" t="str">
        <f>IF(C10=63,ROUNDUP((E10-(T21*AG21))*AF40,0),"0")</f>
        <v>0</v>
      </c>
      <c r="U40" s="37" t="str">
        <f>IF(C12=63,ROUNDUP((E12-(U21*AG21))*AF40,0),"0")</f>
        <v>0</v>
      </c>
      <c r="V40" s="37" t="str">
        <f>IF(C14=63,ROUNDUP((E14-(V21*AG21))*AF40,0),"0")</f>
        <v>0</v>
      </c>
      <c r="W40" s="37" t="str">
        <f>IF(C16=63,ROUNDUP((E16-(W21*AG21))*AF40,0),"0")</f>
        <v>0</v>
      </c>
      <c r="X40" s="37" t="str">
        <f>IF(C18=63,ROUNDUP((E18-(X21*AG21))*AF40,0),"0")</f>
        <v>0</v>
      </c>
      <c r="Y40" s="37" t="str">
        <f>IF(C20=63,ROUNDUP((E20-(Y21*AG21))*AF40,0),"0")</f>
        <v>0</v>
      </c>
      <c r="Z40" s="37" t="str">
        <f>IF(C22=63,ROUNDUP((E22-(Z21*AG21))*AF40,0),"0")</f>
        <v>0</v>
      </c>
      <c r="AA40" s="37" t="str">
        <f>IF(C24=63,ROUNDUP((E24-(AA21*AG21))*AF40,0),"0")</f>
        <v>0</v>
      </c>
      <c r="AB40" s="37" t="str">
        <f>IF(C26=63,ROUNDUP((E26-(AB21*AG21))*AF40,0),"0")</f>
        <v>0</v>
      </c>
      <c r="AC40" s="61">
        <f t="shared" si="1"/>
        <v>0</v>
      </c>
      <c r="AD40" s="57" t="s">
        <v>43</v>
      </c>
      <c r="AE40" s="40">
        <v>10700</v>
      </c>
      <c r="AF40" s="29">
        <v>256</v>
      </c>
      <c r="AG40" s="29">
        <v>9</v>
      </c>
      <c r="AH40" s="24"/>
    </row>
    <row r="41" spans="16:34" ht="13.5" customHeight="1" x14ac:dyDescent="0.15">
      <c r="P41" s="29">
        <v>70</v>
      </c>
      <c r="Q41" s="73" t="s">
        <v>36</v>
      </c>
      <c r="R41" s="73"/>
      <c r="S41" s="37" t="str">
        <f>IF(C8=70,ROUNDUP((E8-(S22*AG22))*AF41,0),"0")</f>
        <v>0</v>
      </c>
      <c r="T41" s="37" t="str">
        <f>IF(C10=70,ROUNDUP((E10-(T22*AG22))*AF41,0),"0")</f>
        <v>0</v>
      </c>
      <c r="U41" s="37" t="str">
        <f>IF(C12=70,ROUNDUP((E12-(U22*AG22))*AF41,0),"0")</f>
        <v>0</v>
      </c>
      <c r="V41" s="37" t="str">
        <f>IF(C14=70,ROUNDUP((E14-(V22*AG22))*AF41,0),"0")</f>
        <v>0</v>
      </c>
      <c r="W41" s="37" t="str">
        <f>IF(C16=70,ROUNDUP((E16-(W22*AG22))*AF41,0),"0")</f>
        <v>0</v>
      </c>
      <c r="X41" s="37" t="str">
        <f>IF(C18=70,ROUNDUP((E18-(X22*AG22))*AF41,0),"0")</f>
        <v>0</v>
      </c>
      <c r="Y41" s="37" t="str">
        <f>IF(C20=70,ROUNDUP((E20-(Y22*AG22))*AF41,0),"0")</f>
        <v>0</v>
      </c>
      <c r="Z41" s="37" t="str">
        <f>IF(C22=70,ROUNDUP((E22-(Z22*AG22))*AF41,0),"0")</f>
        <v>0</v>
      </c>
      <c r="AA41" s="37" t="str">
        <f>IF(C24=70,ROUNDUP((E24-(AA22*AG22))*AF41,0),"0")</f>
        <v>0</v>
      </c>
      <c r="AB41" s="37" t="str">
        <f>IF(C26=70,ROUNDUP((E26-(AB22*AG22))*AF41,0),"0")</f>
        <v>0</v>
      </c>
      <c r="AC41" s="61">
        <f t="shared" si="1"/>
        <v>0</v>
      </c>
      <c r="AD41" s="57" t="s">
        <v>43</v>
      </c>
      <c r="AE41" s="40">
        <v>10700</v>
      </c>
      <c r="AF41" s="29">
        <v>288</v>
      </c>
      <c r="AG41" s="29">
        <v>8</v>
      </c>
      <c r="AH41" s="29" t="s">
        <v>45</v>
      </c>
    </row>
    <row r="42" spans="16:34" ht="13.5" customHeight="1" x14ac:dyDescent="0.15">
      <c r="P42" s="29">
        <v>75</v>
      </c>
      <c r="Q42" s="73" t="s">
        <v>36</v>
      </c>
      <c r="R42" s="73"/>
      <c r="S42" s="37" t="str">
        <f>IF(C8=75,ROUNDUP((E8-(S23*AG23))*AF42,0),"0")</f>
        <v>0</v>
      </c>
      <c r="T42" s="37" t="str">
        <f>IF(C10=75,ROUNDUP((E10-(T23*AG23))*AF42,0),"0")</f>
        <v>0</v>
      </c>
      <c r="U42" s="37" t="str">
        <f>IF(C12=75,ROUNDUP((E12-(U23*AG23))*AF42,0),"0")</f>
        <v>0</v>
      </c>
      <c r="V42" s="37" t="str">
        <f>IF(C14=75,ROUNDUP((E14-(V17*AG17))*AF42,0),"0")</f>
        <v>0</v>
      </c>
      <c r="W42" s="37" t="str">
        <f>IF(C16=75,ROUNDUP((E16-(W23*AG23))*AF42,0),"0")</f>
        <v>0</v>
      </c>
      <c r="X42" s="37" t="str">
        <f>IF(C18=75,ROUNDUP((E18-(X23*AG23))*AF42,0),"0")</f>
        <v>0</v>
      </c>
      <c r="Y42" s="37" t="str">
        <f>IF(C20=75,ROUNDUP((E20-(Y23*AG23))*AF42,0),"0")</f>
        <v>0</v>
      </c>
      <c r="Z42" s="37" t="str">
        <f>IF(C22=75,ROUNDUP((E22-(Z23*AG23))*AF42,0),"0")</f>
        <v>0</v>
      </c>
      <c r="AA42" s="37" t="str">
        <f>IF(C24=75,ROUNDUP((E24-(AA23*AG23))*AF42,0),"0")</f>
        <v>0</v>
      </c>
      <c r="AB42" s="37" t="str">
        <f>IF(C26=75,ROUNDUP((E26-(AB23*AG23))*AF42,0),"0")</f>
        <v>0</v>
      </c>
      <c r="AC42" s="61">
        <f t="shared" si="1"/>
        <v>0</v>
      </c>
      <c r="AD42" s="57" t="s">
        <v>43</v>
      </c>
      <c r="AE42" s="40">
        <v>10700</v>
      </c>
      <c r="AF42" s="29">
        <v>288</v>
      </c>
      <c r="AG42" s="29">
        <v>8</v>
      </c>
      <c r="AH42" s="29">
        <f>ROUNDUP((AC37+AC38+AC39+AC40+AC41+AC42)/2400,0)</f>
        <v>0</v>
      </c>
    </row>
    <row r="43" spans="16:34" ht="13.5" customHeight="1" x14ac:dyDescent="0.15">
      <c r="P43" s="29">
        <v>82</v>
      </c>
      <c r="Q43" s="73" t="s">
        <v>37</v>
      </c>
      <c r="R43" s="73"/>
      <c r="S43" s="37" t="str">
        <f>IF(C8=82,ROUNDUP((E8-(S24*AG24))*AF43,0),"0")</f>
        <v>0</v>
      </c>
      <c r="T43" s="37" t="str">
        <f>IF(C10=82,ROUNDUP((E10-(T24*AG24))*AF43,0),"0")</f>
        <v>0</v>
      </c>
      <c r="U43" s="37" t="str">
        <f>IF(C12=82,ROUNDUP((E12-(U24*AG24))*AF43,0),"0")</f>
        <v>0</v>
      </c>
      <c r="V43" s="37" t="str">
        <f>IF(C14=82,ROUNDUP((E14-(V24*AG24))*AF43,0),"0")</f>
        <v>0</v>
      </c>
      <c r="W43" s="37" t="str">
        <f>IF(C16=82,ROUNDUP((E16-(W24*AG24))*AF43,0),"0")</f>
        <v>0</v>
      </c>
      <c r="X43" s="37" t="str">
        <f>IF(C18=82,ROUNDUP((E18-(X24*AG24))*AF43,0),"0")</f>
        <v>0</v>
      </c>
      <c r="Y43" s="37" t="str">
        <f>IF(C20=82,ROUNDUP((E20-(Y24*AG24))*AF43,0),"0")</f>
        <v>0</v>
      </c>
      <c r="Z43" s="37" t="str">
        <f>IF(C22=82,ROUNDUP((E22-(Z24*AG24))*AF43,0),"0")</f>
        <v>0</v>
      </c>
      <c r="AA43" s="37" t="str">
        <f>IF(C24=82,ROUNDUP((E24-(AA24*AG24))*AF43,0),"0")</f>
        <v>0</v>
      </c>
      <c r="AB43" s="37" t="str">
        <f>IF(C26=82,ROUNDUP((E26-(AB24*AG24))*AF43,0),"0")</f>
        <v>0</v>
      </c>
      <c r="AC43" s="61">
        <f t="shared" si="1"/>
        <v>0</v>
      </c>
      <c r="AD43" s="57" t="s">
        <v>43</v>
      </c>
      <c r="AE43" s="40">
        <v>12300</v>
      </c>
      <c r="AF43" s="29">
        <v>328</v>
      </c>
      <c r="AG43" s="29">
        <v>7</v>
      </c>
      <c r="AH43" s="24"/>
    </row>
    <row r="44" spans="16:34" ht="18.75" customHeight="1" x14ac:dyDescent="0.15">
      <c r="P44" s="29">
        <v>92</v>
      </c>
      <c r="Q44" s="73" t="s">
        <v>37</v>
      </c>
      <c r="R44" s="73"/>
      <c r="S44" s="37" t="str">
        <f>IF(C8=92,ROUNDUP((E8-(S25*AG25))*AF44,0),"0")</f>
        <v>0</v>
      </c>
      <c r="T44" s="37" t="str">
        <f>IF(C10=92,ROUNDUP((E10-(T25*AG25))*AF44,0),"0")</f>
        <v>0</v>
      </c>
      <c r="U44" s="37" t="str">
        <f>IF(C12=92,ROUNDUP((E12-(U25*AG25))*AF44,0),"0")</f>
        <v>0</v>
      </c>
      <c r="V44" s="37" t="str">
        <f>IF(C14=92,ROUNDUP((E14-(V25*AG25))*AF44,0),"0")</f>
        <v>0</v>
      </c>
      <c r="W44" s="37" t="str">
        <f>IF(C16=92,ROUNDUP((E16-(W25*AG25))*AF44,0),"0")</f>
        <v>0</v>
      </c>
      <c r="X44" s="37" t="str">
        <f>IF(C18=92,ROUNDUP((E18-(X25*AG25))*AF44,0),"0")</f>
        <v>0</v>
      </c>
      <c r="Y44" s="37" t="str">
        <f>IF(C20=92,ROUNDUP((E20-(Y25*AG25))*AF44,0),"0")</f>
        <v>0</v>
      </c>
      <c r="Z44" s="37" t="str">
        <f>IF(C22=92,ROUNDUP((E22-(Z25*AG25))*AF44,0),"0")</f>
        <v>0</v>
      </c>
      <c r="AA44" s="37" t="str">
        <f>IF(C24=92,ROUNDUP((E24-(AA25*AG25))*AF44,0),"0")</f>
        <v>0</v>
      </c>
      <c r="AB44" s="37" t="str">
        <f>IF(C26=92,ROUNDUP((E26-(AB25*AG25))*AF44,0),"0")</f>
        <v>0</v>
      </c>
      <c r="AC44" s="61">
        <f t="shared" si="1"/>
        <v>0</v>
      </c>
      <c r="AD44" s="57" t="s">
        <v>43</v>
      </c>
      <c r="AE44" s="40">
        <v>12300</v>
      </c>
      <c r="AF44" s="29">
        <v>383</v>
      </c>
      <c r="AG44" s="29">
        <v>6</v>
      </c>
      <c r="AH44" s="29" t="s">
        <v>46</v>
      </c>
    </row>
    <row r="45" spans="16:34" ht="13.5" customHeight="1" x14ac:dyDescent="0.15">
      <c r="P45" s="29">
        <v>104</v>
      </c>
      <c r="Q45" s="73" t="s">
        <v>37</v>
      </c>
      <c r="R45" s="73"/>
      <c r="S45" s="37" t="str">
        <f>IF(C8=104,ROUNDUP((E8-(S26*AG26))*AF45,0),"0")</f>
        <v>0</v>
      </c>
      <c r="T45" s="37" t="str">
        <f>IF(C10=104,ROUNDUP((E10-(T26*AG26))*AF45,0),"0")</f>
        <v>0</v>
      </c>
      <c r="U45" s="37" t="str">
        <f>IF(C12=104,ROUNDUP((E12-(U26*AG26))*AF45,0),"0")</f>
        <v>0</v>
      </c>
      <c r="V45" s="37" t="str">
        <f>IF(C14=104,ROUNDUP((E14-(V26*AG26))*AF45,0),"0")</f>
        <v>0</v>
      </c>
      <c r="W45" s="37" t="str">
        <f>IF(C16=104,ROUNDUP((E16-(W26*AG26))*AF45,0),"0")</f>
        <v>0</v>
      </c>
      <c r="X45" s="37" t="str">
        <f>IF(C18=104,ROUNDUP((E18-(X26*AG26))*AF45,0),"0")</f>
        <v>0</v>
      </c>
      <c r="Y45" s="37" t="str">
        <f>IF(C20=104,ROUNDUP((E20-(Y26*AG26))*AF45,0),"0")</f>
        <v>0</v>
      </c>
      <c r="Z45" s="37" t="str">
        <f>IF(C22=104,ROUNDUP((E22-(Z26*AG26))*AF45,0),"0")</f>
        <v>0</v>
      </c>
      <c r="AA45" s="37" t="str">
        <f>IF(C24=104,ROUNDUP((E24-(AA26*AG26))*AF45,0),"0")</f>
        <v>0</v>
      </c>
      <c r="AB45" s="37" t="str">
        <f>IF(C26=104,ROUNDUP((E26-(AB26*AG26))*AF45,0),"0")</f>
        <v>0</v>
      </c>
      <c r="AC45" s="61">
        <f t="shared" si="1"/>
        <v>0</v>
      </c>
      <c r="AD45" s="57" t="s">
        <v>43</v>
      </c>
      <c r="AE45" s="40">
        <v>12300</v>
      </c>
      <c r="AF45" s="29">
        <v>460</v>
      </c>
      <c r="AG45" s="29">
        <v>5</v>
      </c>
      <c r="AH45" s="29">
        <f>ROUNDUP((AC43+AC44+AC45)/2300,0)</f>
        <v>0</v>
      </c>
    </row>
    <row r="46" spans="16:34" ht="13.5" customHeight="1" x14ac:dyDescent="0.15"/>
    <row r="47" spans="16:34" ht="13.5" customHeight="1" x14ac:dyDescent="0.15"/>
    <row r="48" spans="16:34" ht="13.5" customHeight="1" x14ac:dyDescent="0.15"/>
    <row r="49" ht="13.5" customHeight="1" x14ac:dyDescent="0.15"/>
    <row r="73" spans="6:6" x14ac:dyDescent="0.15">
      <c r="F73" s="51"/>
    </row>
    <row r="103" spans="10:10" x14ac:dyDescent="0.15">
      <c r="J103" s="52"/>
    </row>
  </sheetData>
  <sheetProtection algorithmName="SHA-512" hashValue="/AwRL88qeog3Uc+/cLbjhvGCSQEOKs+qY6HIJ5MtbB/bPXv3u8AWTXQlAbrxIxWwFYVT7ZusOSk4MKwrTbKeHw==" saltValue="52ClSvSOXuWNLZIjfSRjDw==" spinCount="100000" sheet="1" selectLockedCells="1"/>
  <mergeCells count="45">
    <mergeCell ref="Q25:R25"/>
    <mergeCell ref="Q26:R26"/>
    <mergeCell ref="Q20:R20"/>
    <mergeCell ref="Q21:R21"/>
    <mergeCell ref="Q22:R22"/>
    <mergeCell ref="Q23:R23"/>
    <mergeCell ref="Q24:R24"/>
    <mergeCell ref="H8:I8"/>
    <mergeCell ref="J8:K8"/>
    <mergeCell ref="L8:M8"/>
    <mergeCell ref="I9:I11"/>
    <mergeCell ref="Q9:R9"/>
    <mergeCell ref="Q10:R10"/>
    <mergeCell ref="Q11:R11"/>
    <mergeCell ref="H17:I17"/>
    <mergeCell ref="J17:K17"/>
    <mergeCell ref="I18:I20"/>
    <mergeCell ref="AC9:AD9"/>
    <mergeCell ref="Q12:R12"/>
    <mergeCell ref="Q13:R13"/>
    <mergeCell ref="Q14:R14"/>
    <mergeCell ref="Q15:R15"/>
    <mergeCell ref="Q16:R16"/>
    <mergeCell ref="Q17:R17"/>
    <mergeCell ref="Q18:R18"/>
    <mergeCell ref="Q19:R19"/>
    <mergeCell ref="Q28:R28"/>
    <mergeCell ref="AC28:AD28"/>
    <mergeCell ref="Q29:R29"/>
    <mergeCell ref="Q30:R30"/>
    <mergeCell ref="Q31:R31"/>
    <mergeCell ref="Q32:R32"/>
    <mergeCell ref="Q33:R33"/>
    <mergeCell ref="Q34:R34"/>
    <mergeCell ref="Q35:R35"/>
    <mergeCell ref="Q36:R36"/>
    <mergeCell ref="Q42:R42"/>
    <mergeCell ref="Q43:R43"/>
    <mergeCell ref="Q44:R44"/>
    <mergeCell ref="Q45:R45"/>
    <mergeCell ref="Q37:R37"/>
    <mergeCell ref="Q38:R38"/>
    <mergeCell ref="Q39:R39"/>
    <mergeCell ref="Q40:R40"/>
    <mergeCell ref="Q41:R41"/>
  </mergeCells>
  <phoneticPr fontId="2"/>
  <dataValidations count="1">
    <dataValidation type="list" allowBlank="1" showInputMessage="1" showErrorMessage="1" sqref="C26 C24 C22 C20 C18 C16 C14 C12 C10 C8" xr:uid="{00000000-0002-0000-0000-000000000000}">
      <formula1>$P$9:$P$26</formula1>
    </dataValidation>
  </dataValidations>
  <pageMargins left="0.55118110236220474" right="0.15748031496062992" top="0.78740157480314965" bottom="0.78740157480314965" header="0.51181102362204722" footer="0.51181102362204722"/>
  <pageSetup paperSize="9" scale="70" fitToHeight="0"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イチジカンパイプ工法部材選定シート</vt:lpstr>
      <vt:lpstr>イチジカンパイプ工法部材選定シート!Print_Area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2015-04-01T05:24:50Z</dcterms:created>
  <dcterms:modified xsi:type="dcterms:W3CDTF">2025-02-27T05:36:47Z</dcterms:modified>
</cp:coreProperties>
</file>